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360" windowHeight="7155" activeTab="0"/>
  </bookViews>
  <sheets>
    <sheet name="FCR FY13 Budget" sheetId="1" r:id="rId1"/>
    <sheet name="High Meadows" sheetId="2" r:id="rId2"/>
  </sheets>
  <definedNames>
    <definedName name="_xlnm.Print_Area" localSheetId="0">'FCR FY13 Budget'!$B$2:$P$196</definedName>
  </definedNames>
  <calcPr fullCalcOnLoad="1"/>
</workbook>
</file>

<file path=xl/sharedStrings.xml><?xml version="1.0" encoding="utf-8"?>
<sst xmlns="http://schemas.openxmlformats.org/spreadsheetml/2006/main" count="343" uniqueCount="263">
  <si>
    <t>Ordinary Income/Expense</t>
  </si>
  <si>
    <t>Income</t>
  </si>
  <si>
    <t>4000 · Assessments</t>
  </si>
  <si>
    <t>4010 · Improved Lots</t>
  </si>
  <si>
    <t>4020 · Unimproved Lots</t>
  </si>
  <si>
    <t>Total 4000 · Assessments</t>
  </si>
  <si>
    <t>4100 · Road Easements</t>
  </si>
  <si>
    <t>4800 · High Meadow Fees</t>
  </si>
  <si>
    <t>4805 · Watson Property Fees</t>
  </si>
  <si>
    <t>Total Income</t>
  </si>
  <si>
    <t>Expense</t>
  </si>
  <si>
    <t>6100 · Caretaker &amp; Help</t>
  </si>
  <si>
    <t>6110 · Wages</t>
  </si>
  <si>
    <t>6120 · Payroll Taxes</t>
  </si>
  <si>
    <t>6130 · Health Insurance</t>
  </si>
  <si>
    <t>6150 · Travel Allowance</t>
  </si>
  <si>
    <t>6160 · Retirement expense</t>
  </si>
  <si>
    <t>6570 · Hired Help Wages</t>
  </si>
  <si>
    <t>Total 6100 · Caretaker &amp; Help</t>
  </si>
  <si>
    <t>6200 · Ranch House</t>
  </si>
  <si>
    <t>6230 · Maintenance</t>
  </si>
  <si>
    <t>6240 · Improvements</t>
  </si>
  <si>
    <t>Total 6200 · Ranch House</t>
  </si>
  <si>
    <t>6320 · Electricity</t>
  </si>
  <si>
    <t>6330 · Telephone</t>
  </si>
  <si>
    <t>6340 · Maintenance</t>
  </si>
  <si>
    <t>6360 · Small Tools &amp; Equipment</t>
  </si>
  <si>
    <t>6370 · Supplies - expendable</t>
  </si>
  <si>
    <t>Total 6300 · Equipment Shed</t>
  </si>
  <si>
    <t>6500 · Beautification Committee</t>
  </si>
  <si>
    <t>Total 6500 · Beautification Committee</t>
  </si>
  <si>
    <t>6700 · Roads Committee</t>
  </si>
  <si>
    <t>6710 · FCR- Gravel</t>
  </si>
  <si>
    <t>6730 · FCR- Mag Chlor</t>
  </si>
  <si>
    <t>6760 · Equipment Rentals</t>
  </si>
  <si>
    <t>6790 · Road Sand</t>
  </si>
  <si>
    <t>Total 6700 · Roads Committee</t>
  </si>
  <si>
    <t>6900 · Utilities Committee</t>
  </si>
  <si>
    <t>6910 · Electricity - pumps</t>
  </si>
  <si>
    <t>6915 · Scada phone</t>
  </si>
  <si>
    <t>6920 · Water Tests</t>
  </si>
  <si>
    <t>6940 · System Repairs</t>
  </si>
  <si>
    <t>6950 · System Improvements</t>
  </si>
  <si>
    <t>6960 · Consultants</t>
  </si>
  <si>
    <t>6980 · Training</t>
  </si>
  <si>
    <t>Total 6900 · Utilities Committee</t>
  </si>
  <si>
    <t>7000 · Common Property</t>
  </si>
  <si>
    <t>7010 · Beetle Control - Sevin</t>
  </si>
  <si>
    <t>7030 · Weed &amp; Pest Control</t>
  </si>
  <si>
    <t>Total 7000 · Common Property</t>
  </si>
  <si>
    <t>7100 · Equipment Operations</t>
  </si>
  <si>
    <t>7110 · Fuels, Lubricants &amp; Filters</t>
  </si>
  <si>
    <t>7120 · Licenses and Permits</t>
  </si>
  <si>
    <t>7130 · Grader Repairs &amp; Maintenance</t>
  </si>
  <si>
    <t>7160 · Backhoe Repairs &amp; Maintenance</t>
  </si>
  <si>
    <t>7175 · Tractor Repairs &amp; Maintenance</t>
  </si>
  <si>
    <t>Total 7100 · Equipment Operations</t>
  </si>
  <si>
    <t>7200 · Services</t>
  </si>
  <si>
    <t>7220 · Accounting</t>
  </si>
  <si>
    <t>7230 · Dumpsters</t>
  </si>
  <si>
    <t>Total 7200 · Services</t>
  </si>
  <si>
    <t>7300 · Activities</t>
  </si>
  <si>
    <t>7310 · Annual Meeting</t>
  </si>
  <si>
    <t>Total 7300 · Activities</t>
  </si>
  <si>
    <t>7400 · Board Operations</t>
  </si>
  <si>
    <t>7410 · Prof./web page/Legal Fees</t>
  </si>
  <si>
    <t>7420 · Administrative</t>
  </si>
  <si>
    <t>7430 · Discretionary Payments-Bonus</t>
  </si>
  <si>
    <t>Total 7400 · Board Operations</t>
  </si>
  <si>
    <t>Total Expense</t>
  </si>
  <si>
    <t>Net Ordinary Income</t>
  </si>
  <si>
    <t>7070 - Signs</t>
  </si>
  <si>
    <t>7225 - Finance Charges</t>
  </si>
  <si>
    <t>Acct.</t>
  </si>
  <si>
    <t>Desc</t>
  </si>
  <si>
    <t>alloc %</t>
  </si>
  <si>
    <t>Caretaker / Help</t>
  </si>
  <si>
    <t>Equip Shed</t>
  </si>
  <si>
    <t>Equip Opns</t>
  </si>
  <si>
    <t xml:space="preserve">Road Comm. </t>
  </si>
  <si>
    <t>Road Equip Deprec</t>
  </si>
  <si>
    <t>Dumpsters</t>
  </si>
  <si>
    <t>Grand Total</t>
  </si>
  <si>
    <t>High Meadows Assessment</t>
  </si>
  <si>
    <t xml:space="preserve"> </t>
  </si>
  <si>
    <t>7140 · Dump Truck Repairs &amp; Maintenance</t>
  </si>
  <si>
    <t>6750 - Culverts</t>
  </si>
  <si>
    <t>7040 · Forest Management</t>
  </si>
  <si>
    <t>7330 · Special Events</t>
  </si>
  <si>
    <t>4300 - Misc. Income</t>
  </si>
  <si>
    <t>4400 - Late Fees</t>
  </si>
  <si>
    <t>6300 · Equip. Shed / Mailboxes</t>
  </si>
  <si>
    <t>4320 - Interest Income</t>
  </si>
  <si>
    <t xml:space="preserve">TOTAL </t>
  </si>
  <si>
    <t xml:space="preserve">  Budget</t>
  </si>
  <si>
    <t>Projected Amount</t>
  </si>
  <si>
    <t>Subtotal</t>
  </si>
  <si>
    <t>50% of subtotal</t>
  </si>
  <si>
    <t>$288,000 over 15 years</t>
  </si>
  <si>
    <t>(need to fill in budget amt and calculate per allocation)</t>
  </si>
  <si>
    <t>Budget</t>
  </si>
  <si>
    <t>HMR</t>
  </si>
  <si>
    <t>Portion</t>
  </si>
  <si>
    <t>Watson</t>
  </si>
  <si>
    <t>Pct 1/101 total</t>
  </si>
  <si>
    <t>High Meadows and Watson Property Assessment Calculations</t>
  </si>
  <si>
    <t>4300 - Misc. Income - Other</t>
  </si>
  <si>
    <t>6561 - Payroll Expense</t>
  </si>
  <si>
    <t>6140 · Worker's Compensation</t>
  </si>
  <si>
    <t>6510 · Plants and tools</t>
  </si>
  <si>
    <t>6770 - Signs</t>
  </si>
  <si>
    <t xml:space="preserve">   6620 Furniture</t>
  </si>
  <si>
    <t xml:space="preserve">   6630 Boat storage Materials</t>
  </si>
  <si>
    <t xml:space="preserve">   6640 Signs</t>
  </si>
  <si>
    <t>7801 · Water System Note Payments</t>
  </si>
  <si>
    <t>OTHER CASH FLOW ACTIVITIES</t>
  </si>
  <si>
    <t>NET END OF FISCAL YEAR ESTIMATED CASH</t>
  </si>
  <si>
    <t>6970 · Memberships/ System Fees</t>
  </si>
  <si>
    <t>Total 6600 - Lake Committee</t>
  </si>
  <si>
    <t>Proposed Budget</t>
  </si>
  <si>
    <t>Current FY</t>
  </si>
  <si>
    <t>Rates</t>
  </si>
  <si>
    <t>Proposed Yr</t>
  </si>
  <si>
    <t>6520 - Cleanup Day</t>
  </si>
  <si>
    <t>7910 · Testing/Inspections</t>
  </si>
  <si>
    <t>Total 7900 · Dam Committee</t>
  </si>
  <si>
    <t>7700 · Note Interest Expense</t>
  </si>
  <si>
    <t>7920 · Misc Dam Expense</t>
  </si>
  <si>
    <t>7445 · AED Fees</t>
  </si>
  <si>
    <t xml:space="preserve">   6690 Misc Lake Expense</t>
  </si>
  <si>
    <t>4335 - Designated Grants Received</t>
  </si>
  <si>
    <t>7935 Equipment rental</t>
  </si>
  <si>
    <t>supplies &amp; food</t>
  </si>
  <si>
    <t>6990 · Utilities  Misc.</t>
  </si>
  <si>
    <t>Utilities</t>
  </si>
  <si>
    <t>Dam Committee</t>
  </si>
  <si>
    <t>7915 · Maintenance</t>
  </si>
  <si>
    <t>7802 · Spillway Diversion Note Payments</t>
  </si>
  <si>
    <t>OPERATING BUDGET</t>
  </si>
  <si>
    <t xml:space="preserve">Thompson mine access </t>
  </si>
  <si>
    <t xml:space="preserve">Employment contract: $6900 </t>
  </si>
  <si>
    <t>Required training travel</t>
  </si>
  <si>
    <t>Employment contract: 7% of wages</t>
  </si>
  <si>
    <t xml:space="preserve">Payroll Dept fee </t>
  </si>
  <si>
    <t>Caretaker &amp; emergency phones</t>
  </si>
  <si>
    <t>Beetle trees</t>
  </si>
  <si>
    <t>Seed south Dam face</t>
  </si>
  <si>
    <t>Renewal fee</t>
  </si>
  <si>
    <t>6380 · Sand Shed</t>
  </si>
  <si>
    <t>91</t>
  </si>
  <si>
    <t>9</t>
  </si>
  <si>
    <t>Annual Service Fee: $300 x 101 users (100 lots, 1 stable)</t>
  </si>
  <si>
    <t>Emergency rentals (snow, water truck, etc.)</t>
  </si>
  <si>
    <t>7925 · Spillway Diversion</t>
  </si>
  <si>
    <t>FY2014-15</t>
  </si>
  <si>
    <t>4225 - Water Billing Service Fee</t>
  </si>
  <si>
    <t>6600 - Lake Committee</t>
  </si>
  <si>
    <t>6925 - Chemicals</t>
  </si>
  <si>
    <t>7900 · Dam Committee</t>
  </si>
  <si>
    <t>7800 · Annual Reserve Contribution</t>
  </si>
  <si>
    <t>Total Reserve payments</t>
  </si>
  <si>
    <t>Reserve BUDGET</t>
  </si>
  <si>
    <t>Reserve Income/Expense</t>
  </si>
  <si>
    <t>4001 · Reserve Budget Income</t>
  </si>
  <si>
    <t>4030 · Reserve Carry Forward</t>
  </si>
  <si>
    <t>4035 · Reserve Income</t>
  </si>
  <si>
    <t>4200 · Reserve Interest Income</t>
  </si>
  <si>
    <t>4001 · Reserve Budget Income - Other</t>
  </si>
  <si>
    <t>Total · Reserve Budget Income</t>
  </si>
  <si>
    <t>Net Reserve Income</t>
  </si>
  <si>
    <t>FY2015-16</t>
  </si>
  <si>
    <t>2015-16</t>
  </si>
  <si>
    <t>2015 vs 2016</t>
  </si>
  <si>
    <r>
      <t xml:space="preserve">As of: </t>
    </r>
    <r>
      <rPr>
        <b/>
        <sz val="12"/>
        <color indexed="10"/>
        <rFont val="Arial"/>
        <family val="2"/>
      </rPr>
      <t xml:space="preserve"> May 31, 2015</t>
    </r>
  </si>
  <si>
    <t>5030 -  SCADA system upgrades</t>
  </si>
  <si>
    <t>5040 - Replace existing fire hydrant</t>
  </si>
  <si>
    <t>5062 - lower tank</t>
  </si>
  <si>
    <t>5064 - upper tank</t>
  </si>
  <si>
    <t>5070 - Tank Mixer</t>
  </si>
  <si>
    <t>FALLS CREEK RANCH ASSN. BUDGET 2015- 2016</t>
  </si>
  <si>
    <t>4200 · Water Billing Usage Fee</t>
  </si>
  <si>
    <t>FISCAL YEAR 2015-16</t>
  </si>
  <si>
    <t>Pct 5Houses/105 total</t>
  </si>
  <si>
    <t xml:space="preserve">Ray - July Performance bonus; </t>
  </si>
  <si>
    <t>4200 · Grant Interest Income</t>
  </si>
  <si>
    <t>Total · Grant Budget Income</t>
  </si>
  <si>
    <t>Firewise</t>
  </si>
  <si>
    <t>6820 Administrative supplies/ meetings</t>
  </si>
  <si>
    <t>6810 Mitigation Projects</t>
  </si>
  <si>
    <t>Water usage fee - variable</t>
  </si>
  <si>
    <t>Carpet; woodstove; paint</t>
  </si>
  <si>
    <t xml:space="preserve">System software maint contracts: Win-911 alert, SCADA (Ifix) , Neptune water meter &amp; QW water billing; data backup &amp; anti-virus. </t>
  </si>
  <si>
    <t>17 KW Generac genset (2013 quote), concrete pad, propane tank and piping</t>
  </si>
  <si>
    <t>11 KW Generac genset (2013 quote), concrete pad, propane tank and piping</t>
  </si>
  <si>
    <t>5020 - Well Rehabilitation Project</t>
  </si>
  <si>
    <t>5010 - SCADA PC Relocation</t>
  </si>
  <si>
    <t>Completed June 2015</t>
  </si>
  <si>
    <t>7170 · Pickup Repairs &amp; Maintenance</t>
  </si>
  <si>
    <t>5072 - Lower PWT Bldg.: Backup Generator</t>
  </si>
  <si>
    <t>5074 - Upper PWT Bldg.: Back up Generator</t>
  </si>
  <si>
    <t>FYE 2015: included in Misc Income Other</t>
  </si>
  <si>
    <t>FYE 2016: Homes =5</t>
  </si>
  <si>
    <t>FYE 2015: $1065 2 entrance gates</t>
  </si>
  <si>
    <t>Chairs, umbrella; picnic table repair</t>
  </si>
  <si>
    <t>FYE 2015: boat line</t>
  </si>
  <si>
    <t>Hydrant leak fixed reduces well-1  pump</t>
  </si>
  <si>
    <t>Water disinfection</t>
  </si>
  <si>
    <t>FYE 2015: Fire hydrant leak, 30 ft pipeline replaced &amp;  hired leak detection expert</t>
  </si>
  <si>
    <t>FYE2016: $600 new 4" upper Main isolation valve</t>
  </si>
  <si>
    <t>Ranch Manager &amp; Ranch System Admin</t>
  </si>
  <si>
    <t>Copying expenses (Ray testing)</t>
  </si>
  <si>
    <t>Bookkeeper, taxes, CPA Review:$2500</t>
  </si>
  <si>
    <t>FYE 2016:Waste Mgt 3 yr contract</t>
  </si>
  <si>
    <t>New years eve party;  work crew snacks</t>
  </si>
  <si>
    <t>FYE 2016:Spillway Notes Years 2,3,4, 5</t>
  </si>
  <si>
    <t>FYE 2015:Water System Notes paid in full</t>
  </si>
  <si>
    <t>FYE 2015: Spillway Year1; FYE 2016: Spillway Year2</t>
  </si>
  <si>
    <t xml:space="preserve">FYE 2015: Well 2:done.;FYE 2016: Well-4 </t>
  </si>
  <si>
    <t>FYE 2015:Upper &amp; Lower PWT systems; FYE 2016:Tank systems</t>
  </si>
  <si>
    <t>FYE 2015: 1 hydrant(in addition to leaky hydrant repair); FYE 2016: 1 hydrant</t>
  </si>
  <si>
    <t>Upper tank: prevent ice buildup/wall damage; Uses solar power.</t>
  </si>
  <si>
    <t>Clean corroded tank bolts/nuts, cover with epoxy; 1 week diving duration</t>
  </si>
  <si>
    <t>6800 · Firewise Committee</t>
  </si>
  <si>
    <t>Total 6800 ·  Firewise Committee</t>
  </si>
  <si>
    <t>4500 - Stable Rent</t>
  </si>
  <si>
    <t>6945 -Tank level sight gauge</t>
  </si>
  <si>
    <t>7210 · Insurance</t>
  </si>
  <si>
    <t>7905 · Fish</t>
  </si>
  <si>
    <t>4333 - Grant Carry Forward</t>
  </si>
  <si>
    <t>FYE 2016: HOA fees: $280; FCR Web design: $1000; Legal $7000</t>
  </si>
  <si>
    <t>Spray Truck beetle control common prop.</t>
  </si>
  <si>
    <t>Capital Reserve Account</t>
  </si>
  <si>
    <t>Grant Reserve Account</t>
  </si>
  <si>
    <t>SCADA Computer and Data System</t>
  </si>
  <si>
    <t>Water Tanks</t>
  </si>
  <si>
    <t>Fire Hydrants</t>
  </si>
  <si>
    <t>Well #1, #2, #4</t>
  </si>
  <si>
    <t>Tank Mixer</t>
  </si>
  <si>
    <t>Back up Generator</t>
  </si>
  <si>
    <t>Lots</t>
  </si>
  <si>
    <t xml:space="preserve">Pinnacol </t>
  </si>
  <si>
    <t>FYE 2015: $2520 Beach rehab; $400 raft, stairs repair. FYE2016: maintenance</t>
  </si>
  <si>
    <t>Firewise meeting</t>
  </si>
  <si>
    <t xml:space="preserve">Est $100/month: phone &amp; Internet service (Internet previously by Redford Home) </t>
  </si>
  <si>
    <t>State of CO reqrd tests defined: 1/16</t>
  </si>
  <si>
    <t>7210 &amp; 7240: Liability:general,D.O.; Prop:house, shed,rolling stock;Auto; Equip. Agent est.</t>
  </si>
  <si>
    <t>% Diff</t>
  </si>
  <si>
    <t>FYE 2016: FCR Watershed Protection Project</t>
  </si>
  <si>
    <t>Grant Reserve Budget</t>
  </si>
  <si>
    <t>Operating Account</t>
  </si>
  <si>
    <t>Bank of San Juans, Durango, CO</t>
  </si>
  <si>
    <t>$2400 + $600/lot reserve fund contribution</t>
  </si>
  <si>
    <t>$2300 + $600 /lot reserve fund contribution</t>
  </si>
  <si>
    <t>HOA Fee*</t>
  </si>
  <si>
    <t>HOA Fee*:</t>
  </si>
  <si>
    <t>FYE15: in reserve budget; FYE16:Fall tank repair project</t>
  </si>
  <si>
    <t>FYE 2016: $10k: FCR/AWC water connection feasibility eng study (Est); $10k Reserve study Est- piping costs</t>
  </si>
  <si>
    <t>FYE 2015: 10% HOA Fee+$100/lot; FYE 2016: $600/lot</t>
  </si>
  <si>
    <t>Budget Notes</t>
  </si>
  <si>
    <t>Grant Reserve Income/ Expense</t>
  </si>
  <si>
    <t>Net Grant Reserve Income</t>
  </si>
  <si>
    <t>FYE2015: 10% HOA fee +$100/lot; FYE 2016: $60k HOA reserve contribution</t>
  </si>
  <si>
    <t>FYE 2015: $48500 Operating Xfr FYE 14;  FYE 2016: $20,613 Spillway Prjt carry forward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</si>
</sst>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Accounting"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ck"/>
      <bottom style="thick"/>
    </border>
    <border>
      <left/>
      <right style="thin"/>
      <top/>
      <bottom/>
    </border>
    <border>
      <left/>
      <right/>
      <top style="medium"/>
      <bottom style="double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ck"/>
    </border>
    <border>
      <left/>
      <right style="medium"/>
      <top/>
      <bottom/>
    </border>
    <border>
      <left/>
      <right/>
      <top style="double"/>
      <bottom/>
    </border>
    <border>
      <left style="medium"/>
      <right/>
      <top style="medium"/>
      <bottom/>
    </border>
    <border>
      <left/>
      <right/>
      <top/>
      <bottom style="double"/>
    </border>
    <border>
      <left style="medium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57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/>
      <protection locked="0"/>
    </xf>
    <xf numFmtId="164" fontId="8" fillId="0" borderId="0" xfId="44" applyNumberFormat="1" applyFont="1" applyFill="1" applyAlignment="1" applyProtection="1">
      <alignment horizontal="left"/>
      <protection locked="0"/>
    </xf>
    <xf numFmtId="164" fontId="8" fillId="0" borderId="0" xfId="44" applyNumberFormat="1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4" fontId="8" fillId="0" borderId="0" xfId="44" applyNumberFormat="1" applyFont="1" applyFill="1" applyAlignment="1" applyProtection="1">
      <alignment/>
      <protection locked="0"/>
    </xf>
    <xf numFmtId="164" fontId="8" fillId="0" borderId="0" xfId="44" applyNumberFormat="1" applyFont="1" applyFill="1" applyBorder="1" applyAlignment="1" applyProtection="1">
      <alignment/>
      <protection locked="0"/>
    </xf>
    <xf numFmtId="164" fontId="8" fillId="0" borderId="0" xfId="44" applyNumberFormat="1" applyFont="1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164" fontId="8" fillId="0" borderId="10" xfId="44" applyNumberFormat="1" applyFont="1" applyFill="1" applyBorder="1" applyAlignment="1" applyProtection="1">
      <alignment/>
      <protection locked="0"/>
    </xf>
    <xf numFmtId="164" fontId="7" fillId="0" borderId="0" xfId="44" applyNumberFormat="1" applyFont="1" applyFill="1" applyAlignment="1" applyProtection="1">
      <alignment/>
      <protection locked="0"/>
    </xf>
    <xf numFmtId="164" fontId="7" fillId="0" borderId="0" xfId="44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wrapText="1"/>
      <protection locked="0"/>
    </xf>
    <xf numFmtId="49" fontId="8" fillId="0" borderId="0" xfId="0" applyNumberFormat="1" applyFont="1" applyFill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7" fillId="0" borderId="0" xfId="44" applyNumberFormat="1" applyFont="1" applyFill="1" applyBorder="1" applyAlignment="1" applyProtection="1">
      <alignment horizontal="center"/>
      <protection locked="0"/>
    </xf>
    <xf numFmtId="164" fontId="7" fillId="0" borderId="0" xfId="44" applyNumberFormat="1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64" fontId="8" fillId="0" borderId="0" xfId="44" applyNumberFormat="1" applyFont="1" applyFill="1" applyBorder="1" applyAlignment="1" applyProtection="1">
      <alignment/>
      <protection locked="0"/>
    </xf>
    <xf numFmtId="164" fontId="8" fillId="0" borderId="0" xfId="44" applyNumberFormat="1" applyFont="1" applyFill="1" applyAlignment="1" applyProtection="1">
      <alignment/>
      <protection locked="0"/>
    </xf>
    <xf numFmtId="0" fontId="4" fillId="0" borderId="0" xfId="0" applyFont="1" applyAlignment="1">
      <alignment horizontal="center"/>
    </xf>
    <xf numFmtId="9" fontId="5" fillId="0" borderId="0" xfId="57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9" fontId="0" fillId="0" borderId="0" xfId="57" applyFont="1" applyFill="1" applyAlignment="1">
      <alignment/>
    </xf>
    <xf numFmtId="49" fontId="11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11" fillId="0" borderId="0" xfId="0" applyNumberFormat="1" applyFont="1" applyFill="1" applyAlignment="1" applyProtection="1">
      <alignment horizontal="center"/>
      <protection locked="0"/>
    </xf>
    <xf numFmtId="164" fontId="7" fillId="0" borderId="11" xfId="44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Alignment="1" applyProtection="1">
      <alignment horizontal="left"/>
      <protection locked="0"/>
    </xf>
    <xf numFmtId="49" fontId="7" fillId="0" borderId="0" xfId="0" applyNumberFormat="1" applyFont="1" applyFill="1" applyAlignment="1" applyProtection="1">
      <alignment horizontal="left"/>
      <protection locked="0"/>
    </xf>
    <xf numFmtId="49" fontId="9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horizontal="center" wrapText="1"/>
      <protection locked="0"/>
    </xf>
    <xf numFmtId="49" fontId="11" fillId="0" borderId="0" xfId="0" applyNumberFormat="1" applyFont="1" applyFill="1" applyAlignment="1" applyProtection="1">
      <alignment wrapText="1"/>
      <protection locked="0"/>
    </xf>
    <xf numFmtId="49" fontId="7" fillId="0" borderId="0" xfId="0" applyNumberFormat="1" applyFont="1" applyFill="1" applyAlignment="1" applyProtection="1">
      <alignment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11" fillId="0" borderId="0" xfId="0" applyNumberFormat="1" applyFont="1" applyFill="1" applyAlignment="1" applyProtection="1">
      <alignment/>
      <protection locked="0"/>
    </xf>
    <xf numFmtId="164" fontId="8" fillId="0" borderId="10" xfId="44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4" fontId="0" fillId="0" borderId="0" xfId="44" applyNumberFormat="1" applyFont="1" applyAlignment="1">
      <alignment/>
    </xf>
    <xf numFmtId="164" fontId="0" fillId="33" borderId="0" xfId="44" applyNumberFormat="1" applyFont="1" applyFill="1" applyAlignment="1">
      <alignment/>
    </xf>
    <xf numFmtId="164" fontId="4" fillId="33" borderId="0" xfId="44" applyNumberFormat="1" applyFont="1" applyFill="1" applyAlignment="1">
      <alignment/>
    </xf>
    <xf numFmtId="164" fontId="13" fillId="0" borderId="0" xfId="44" applyNumberFormat="1" applyFont="1" applyAlignment="1">
      <alignment/>
    </xf>
    <xf numFmtId="9" fontId="4" fillId="0" borderId="0" xfId="57" applyFont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164" fontId="4" fillId="0" borderId="0" xfId="44" applyNumberFormat="1" applyFont="1" applyFill="1" applyAlignment="1">
      <alignment/>
    </xf>
    <xf numFmtId="164" fontId="0" fillId="0" borderId="0" xfId="44" applyNumberFormat="1" applyFont="1" applyFill="1" applyAlignment="1">
      <alignment/>
    </xf>
    <xf numFmtId="0" fontId="4" fillId="0" borderId="0" xfId="0" applyFont="1" applyAlignment="1" applyProtection="1">
      <alignment/>
      <protection locked="0"/>
    </xf>
    <xf numFmtId="164" fontId="7" fillId="0" borderId="0" xfId="44" applyNumberFormat="1" applyFont="1" applyFill="1" applyAlignment="1" applyProtection="1">
      <alignment horizontal="center"/>
      <protection/>
    </xf>
    <xf numFmtId="164" fontId="15" fillId="0" borderId="0" xfId="44" applyNumberFormat="1" applyFont="1" applyFill="1" applyAlignment="1" applyProtection="1">
      <alignment/>
      <protection locked="0"/>
    </xf>
    <xf numFmtId="9" fontId="0" fillId="0" borderId="0" xfId="0" applyNumberFormat="1" applyAlignment="1">
      <alignment/>
    </xf>
    <xf numFmtId="0" fontId="0" fillId="33" borderId="0" xfId="0" applyFill="1" applyAlignment="1">
      <alignment/>
    </xf>
    <xf numFmtId="0" fontId="18" fillId="0" borderId="0" xfId="0" applyNumberFormat="1" applyFont="1" applyAlignment="1" applyProtection="1">
      <alignment/>
      <protection locked="0"/>
    </xf>
    <xf numFmtId="164" fontId="0" fillId="0" borderId="0" xfId="44" applyNumberFormat="1" applyFont="1" applyFill="1" applyAlignment="1" applyProtection="1">
      <alignment/>
      <protection locked="0"/>
    </xf>
    <xf numFmtId="164" fontId="7" fillId="0" borderId="0" xfId="44" applyNumberFormat="1" applyFont="1" applyFill="1" applyAlignment="1" applyProtection="1">
      <alignment/>
      <protection/>
    </xf>
    <xf numFmtId="164" fontId="7" fillId="0" borderId="0" xfId="44" applyNumberFormat="1" applyFont="1" applyFill="1" applyBorder="1" applyAlignment="1" applyProtection="1">
      <alignment/>
      <protection/>
    </xf>
    <xf numFmtId="164" fontId="7" fillId="0" borderId="10" xfId="44" applyNumberFormat="1" applyFont="1" applyFill="1" applyBorder="1" applyAlignment="1" applyProtection="1">
      <alignment/>
      <protection/>
    </xf>
    <xf numFmtId="164" fontId="7" fillId="0" borderId="13" xfId="44" applyNumberFormat="1" applyFont="1" applyFill="1" applyBorder="1" applyAlignment="1" applyProtection="1">
      <alignment/>
      <protection locked="0"/>
    </xf>
    <xf numFmtId="164" fontId="8" fillId="0" borderId="0" xfId="57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wrapText="1"/>
      <protection locked="0"/>
    </xf>
    <xf numFmtId="0" fontId="7" fillId="0" borderId="0" xfId="0" applyNumberFormat="1" applyFont="1" applyFill="1" applyAlignment="1" applyProtection="1">
      <alignment wrapText="1"/>
      <protection locked="0"/>
    </xf>
    <xf numFmtId="4" fontId="7" fillId="0" borderId="11" xfId="44" applyNumberFormat="1" applyFont="1" applyFill="1" applyBorder="1" applyAlignment="1" applyProtection="1">
      <alignment horizontal="center"/>
      <protection locked="0"/>
    </xf>
    <xf numFmtId="4" fontId="8" fillId="0" borderId="0" xfId="44" applyNumberFormat="1" applyFont="1" applyFill="1" applyAlignment="1" applyProtection="1">
      <alignment horizontal="left"/>
      <protection locked="0"/>
    </xf>
    <xf numFmtId="4" fontId="8" fillId="0" borderId="0" xfId="44" applyNumberFormat="1" applyFont="1" applyFill="1" applyAlignment="1" applyProtection="1">
      <alignment/>
      <protection locked="0"/>
    </xf>
    <xf numFmtId="4" fontId="8" fillId="0" borderId="0" xfId="44" applyNumberFormat="1" applyFont="1" applyFill="1" applyBorder="1" applyAlignment="1" applyProtection="1">
      <alignment/>
      <protection locked="0"/>
    </xf>
    <xf numFmtId="4" fontId="7" fillId="0" borderId="0" xfId="44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8" fillId="0" borderId="14" xfId="44" applyNumberFormat="1" applyFont="1" applyFill="1" applyBorder="1" applyAlignment="1" applyProtection="1">
      <alignment/>
      <protection/>
    </xf>
    <xf numFmtId="164" fontId="7" fillId="0" borderId="14" xfId="44" applyNumberFormat="1" applyFont="1" applyFill="1" applyBorder="1" applyAlignment="1" applyProtection="1">
      <alignment/>
      <protection locked="0"/>
    </xf>
    <xf numFmtId="164" fontId="7" fillId="0" borderId="14" xfId="44" applyNumberFormat="1" applyFont="1" applyFill="1" applyBorder="1" applyAlignment="1" applyProtection="1">
      <alignment/>
      <protection/>
    </xf>
    <xf numFmtId="9" fontId="8" fillId="0" borderId="15" xfId="57" applyNumberFormat="1" applyFont="1" applyFill="1" applyBorder="1" applyAlignment="1" applyProtection="1">
      <alignment/>
      <protection locked="0"/>
    </xf>
    <xf numFmtId="9" fontId="7" fillId="0" borderId="15" xfId="57" applyNumberFormat="1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/>
      <protection locked="0"/>
    </xf>
    <xf numFmtId="9" fontId="7" fillId="0" borderId="15" xfId="57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left"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44" applyNumberFormat="1" applyFont="1" applyAlignment="1">
      <alignment/>
    </xf>
    <xf numFmtId="4" fontId="14" fillId="0" borderId="0" xfId="44" applyNumberFormat="1" applyFont="1" applyAlignment="1">
      <alignment/>
    </xf>
    <xf numFmtId="4" fontId="8" fillId="0" borderId="0" xfId="44" applyNumberFormat="1" applyFont="1" applyFill="1" applyAlignment="1" applyProtection="1" quotePrefix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5" fontId="7" fillId="0" borderId="15" xfId="57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Alignment="1">
      <alignment wrapText="1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" fontId="8" fillId="0" borderId="0" xfId="44" applyNumberFormat="1" applyFont="1" applyFill="1" applyAlignment="1" applyProtection="1">
      <alignment/>
      <protection locked="0"/>
    </xf>
    <xf numFmtId="164" fontId="8" fillId="0" borderId="14" xfId="44" applyNumberFormat="1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9" fontId="8" fillId="0" borderId="0" xfId="57" applyNumberFormat="1" applyFont="1" applyFill="1" applyBorder="1" applyAlignment="1" applyProtection="1">
      <alignment/>
      <protection locked="0"/>
    </xf>
    <xf numFmtId="164" fontId="7" fillId="0" borderId="16" xfId="44" applyNumberFormat="1" applyFont="1" applyFill="1" applyBorder="1" applyAlignment="1" applyProtection="1">
      <alignment wrapText="1"/>
      <protection locked="0"/>
    </xf>
    <xf numFmtId="44" fontId="8" fillId="0" borderId="0" xfId="44" applyFont="1" applyAlignment="1" applyProtection="1">
      <alignment/>
      <protection locked="0"/>
    </xf>
    <xf numFmtId="44" fontId="0" fillId="0" borderId="0" xfId="44" applyNumberFormat="1" applyFont="1" applyAlignment="1">
      <alignment/>
    </xf>
    <xf numFmtId="44" fontId="13" fillId="0" borderId="0" xfId="44" applyNumberFormat="1" applyFont="1" applyAlignment="1">
      <alignment/>
    </xf>
    <xf numFmtId="44" fontId="4" fillId="33" borderId="0" xfId="44" applyNumberFormat="1" applyFont="1" applyFill="1" applyAlignment="1">
      <alignment/>
    </xf>
    <xf numFmtId="164" fontId="7" fillId="0" borderId="17" xfId="44" applyNumberFormat="1" applyFont="1" applyFill="1" applyBorder="1" applyAlignment="1" applyProtection="1">
      <alignment/>
      <protection locked="0"/>
    </xf>
    <xf numFmtId="4" fontId="7" fillId="0" borderId="14" xfId="44" applyNumberFormat="1" applyFont="1" applyFill="1" applyBorder="1" applyAlignment="1" applyProtection="1">
      <alignment/>
      <protection locked="0"/>
    </xf>
    <xf numFmtId="164" fontId="8" fillId="0" borderId="18" xfId="44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Alignment="1" applyProtection="1">
      <alignment/>
      <protection locked="0"/>
    </xf>
    <xf numFmtId="43" fontId="8" fillId="0" borderId="0" xfId="42" applyFont="1" applyFill="1" applyAlignment="1" applyProtection="1">
      <alignment/>
      <protection locked="0"/>
    </xf>
    <xf numFmtId="43" fontId="8" fillId="0" borderId="0" xfId="42" applyFont="1" applyFill="1" applyAlignment="1" applyProtection="1">
      <alignment/>
      <protection locked="0"/>
    </xf>
    <xf numFmtId="43" fontId="8" fillId="0" borderId="0" xfId="42" applyFont="1" applyFill="1" applyAlignment="1" applyProtection="1">
      <alignment/>
      <protection locked="0"/>
    </xf>
    <xf numFmtId="39" fontId="8" fillId="0" borderId="0" xfId="44" applyNumberFormat="1" applyFont="1" applyFill="1" applyAlignment="1" applyProtection="1">
      <alignment/>
      <protection locked="0"/>
    </xf>
    <xf numFmtId="39" fontId="8" fillId="0" borderId="0" xfId="44" applyNumberFormat="1" applyFont="1" applyFill="1" applyBorder="1" applyAlignment="1" applyProtection="1">
      <alignment/>
      <protection locked="0"/>
    </xf>
    <xf numFmtId="39" fontId="8" fillId="0" borderId="0" xfId="44" applyNumberFormat="1" applyFont="1" applyFill="1" applyAlignment="1" applyProtection="1">
      <alignment/>
      <protection locked="0"/>
    </xf>
    <xf numFmtId="39" fontId="8" fillId="0" borderId="0" xfId="44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wrapText="1"/>
      <protection locked="0"/>
    </xf>
    <xf numFmtId="164" fontId="8" fillId="0" borderId="17" xfId="44" applyNumberFormat="1" applyFont="1" applyFill="1" applyBorder="1" applyAlignment="1" applyProtection="1">
      <alignment/>
      <protection locked="0"/>
    </xf>
    <xf numFmtId="164" fontId="8" fillId="0" borderId="10" xfId="44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NumberFormat="1" applyFont="1" applyFill="1" applyAlignment="1" applyProtection="1">
      <alignment horizontal="left" wrapText="1" indent="2"/>
      <protection locked="0"/>
    </xf>
    <xf numFmtId="0" fontId="20" fillId="0" borderId="0" xfId="0" applyNumberFormat="1" applyFont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164" fontId="22" fillId="0" borderId="0" xfId="44" applyNumberFormat="1" applyFont="1" applyFill="1" applyAlignment="1" applyProtection="1">
      <alignment/>
      <protection locked="0"/>
    </xf>
    <xf numFmtId="44" fontId="7" fillId="0" borderId="0" xfId="44" applyFont="1" applyFill="1" applyAlignment="1" applyProtection="1">
      <alignment/>
      <protection/>
    </xf>
    <xf numFmtId="44" fontId="8" fillId="0" borderId="0" xfId="44" applyFont="1" applyFill="1" applyAlignment="1" applyProtection="1">
      <alignment/>
      <protection locked="0"/>
    </xf>
    <xf numFmtId="44" fontId="8" fillId="0" borderId="10" xfId="44" applyFont="1" applyFill="1" applyBorder="1" applyAlignment="1" applyProtection="1">
      <alignment/>
      <protection locked="0"/>
    </xf>
    <xf numFmtId="44" fontId="8" fillId="0" borderId="0" xfId="44" applyFont="1" applyFill="1" applyAlignment="1" applyProtection="1">
      <alignment/>
      <protection locked="0"/>
    </xf>
    <xf numFmtId="44" fontId="8" fillId="0" borderId="0" xfId="44" applyFont="1" applyFill="1" applyAlignment="1" applyProtection="1">
      <alignment/>
      <protection locked="0"/>
    </xf>
    <xf numFmtId="44" fontId="7" fillId="0" borderId="14" xfId="44" applyFont="1" applyFill="1" applyBorder="1" applyAlignment="1" applyProtection="1">
      <alignment/>
      <protection/>
    </xf>
    <xf numFmtId="44" fontId="8" fillId="0" borderId="0" xfId="44" applyFont="1" applyFill="1" applyBorder="1" applyAlignment="1" applyProtection="1">
      <alignment/>
      <protection locked="0"/>
    </xf>
    <xf numFmtId="44" fontId="8" fillId="0" borderId="10" xfId="44" applyFont="1" applyFill="1" applyBorder="1" applyAlignment="1" applyProtection="1">
      <alignment horizontal="right"/>
      <protection locked="0"/>
    </xf>
    <xf numFmtId="44" fontId="7" fillId="0" borderId="0" xfId="44" applyFont="1" applyFill="1" applyAlignment="1" applyProtection="1">
      <alignment horizontal="right"/>
      <protection/>
    </xf>
    <xf numFmtId="44" fontId="7" fillId="0" borderId="0" xfId="44" applyFont="1" applyFill="1" applyBorder="1" applyAlignment="1" applyProtection="1">
      <alignment/>
      <protection/>
    </xf>
    <xf numFmtId="44" fontId="8" fillId="0" borderId="0" xfId="44" applyFont="1" applyFill="1" applyBorder="1" applyAlignment="1" applyProtection="1">
      <alignment/>
      <protection locked="0"/>
    </xf>
    <xf numFmtId="44" fontId="7" fillId="0" borderId="14" xfId="44" applyFont="1" applyFill="1" applyBorder="1" applyAlignment="1" applyProtection="1">
      <alignment/>
      <protection locked="0"/>
    </xf>
    <xf numFmtId="44" fontId="7" fillId="0" borderId="0" xfId="44" applyFont="1" applyFill="1" applyBorder="1" applyAlignment="1" applyProtection="1">
      <alignment/>
      <protection/>
    </xf>
    <xf numFmtId="44" fontId="15" fillId="0" borderId="0" xfId="44" applyFont="1" applyFill="1" applyAlignment="1" applyProtection="1">
      <alignment/>
      <protection locked="0"/>
    </xf>
    <xf numFmtId="44" fontId="7" fillId="0" borderId="0" xfId="44" applyFont="1" applyFill="1" applyBorder="1" applyAlignment="1" applyProtection="1">
      <alignment/>
      <protection locked="0"/>
    </xf>
    <xf numFmtId="44" fontId="7" fillId="0" borderId="14" xfId="44" applyFont="1" applyFill="1" applyBorder="1" applyAlignment="1" applyProtection="1">
      <alignment/>
      <protection/>
    </xf>
    <xf numFmtId="44" fontId="7" fillId="0" borderId="10" xfId="44" applyFont="1" applyFill="1" applyBorder="1" applyAlignment="1" applyProtection="1">
      <alignment/>
      <protection/>
    </xf>
    <xf numFmtId="44" fontId="7" fillId="0" borderId="13" xfId="44" applyFont="1" applyFill="1" applyBorder="1" applyAlignment="1" applyProtection="1">
      <alignment/>
      <protection locked="0"/>
    </xf>
    <xf numFmtId="44" fontId="7" fillId="0" borderId="14" xfId="44" applyFont="1" applyFill="1" applyBorder="1" applyAlignment="1" applyProtection="1">
      <alignment/>
      <protection locked="0"/>
    </xf>
    <xf numFmtId="44" fontId="8" fillId="0" borderId="0" xfId="44" applyFont="1" applyFill="1" applyBorder="1" applyAlignment="1" applyProtection="1">
      <alignment horizontal="right"/>
      <protection locked="0"/>
    </xf>
    <xf numFmtId="0" fontId="21" fillId="0" borderId="0" xfId="0" applyFont="1" applyFill="1" applyAlignment="1" applyProtection="1">
      <alignment wrapText="1"/>
      <protection locked="0"/>
    </xf>
    <xf numFmtId="44" fontId="8" fillId="0" borderId="0" xfId="44" applyFont="1" applyFill="1" applyBorder="1" applyAlignment="1" applyProtection="1">
      <alignment/>
      <protection locked="0"/>
    </xf>
    <xf numFmtId="9" fontId="7" fillId="0" borderId="19" xfId="57" applyNumberFormat="1" applyFont="1" applyFill="1" applyBorder="1" applyAlignment="1" applyProtection="1">
      <alignment horizontal="center"/>
      <protection/>
    </xf>
    <xf numFmtId="164" fontId="7" fillId="0" borderId="20" xfId="44" applyNumberFormat="1" applyFont="1" applyFill="1" applyBorder="1" applyAlignment="1" applyProtection="1">
      <alignment/>
      <protection/>
    </xf>
    <xf numFmtId="9" fontId="7" fillId="0" borderId="0" xfId="57" applyNumberFormat="1" applyFont="1" applyFill="1" applyBorder="1" applyAlignment="1" applyProtection="1">
      <alignment horizontal="center"/>
      <protection locked="0"/>
    </xf>
    <xf numFmtId="164" fontId="8" fillId="0" borderId="0" xfId="44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9" fontId="7" fillId="0" borderId="21" xfId="57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Alignment="1" applyProtection="1">
      <alignment horizontal="left"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164" fontId="8" fillId="34" borderId="0" xfId="44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6"/>
  <sheetViews>
    <sheetView tabSelected="1" zoomScale="75" zoomScaleNormal="75" zoomScaleSheetLayoutView="100" zoomScalePageLayoutView="0" workbookViewId="0" topLeftCell="D136">
      <selection activeCell="L153" sqref="L153"/>
    </sheetView>
  </sheetViews>
  <sheetFormatPr defaultColWidth="9.140625" defaultRowHeight="12.75"/>
  <cols>
    <col min="1" max="1" width="1.421875" style="29" customWidth="1"/>
    <col min="2" max="2" width="5.140625" style="30" customWidth="1"/>
    <col min="3" max="4" width="3.00390625" style="31" customWidth="1"/>
    <col min="5" max="5" width="44.00390625" style="31" customWidth="1"/>
    <col min="6" max="6" width="12.8515625" style="31" hidden="1" customWidth="1"/>
    <col min="7" max="7" width="11.8515625" style="7" hidden="1" customWidth="1"/>
    <col min="8" max="8" width="10.00390625" style="31" customWidth="1"/>
    <col min="9" max="9" width="5.7109375" style="7" customWidth="1"/>
    <col min="10" max="10" width="18.421875" style="81" customWidth="1"/>
    <col min="11" max="11" width="2.7109375" style="0" customWidth="1"/>
    <col min="12" max="12" width="19.7109375" style="91" customWidth="1"/>
    <col min="13" max="13" width="3.421875" style="0" customWidth="1"/>
    <col min="14" max="14" width="20.28125" style="16" customWidth="1"/>
    <col min="15" max="15" width="9.140625" style="100" customWidth="1"/>
    <col min="16" max="16" width="45.57421875" style="104" customWidth="1"/>
    <col min="17" max="17" width="3.8515625" style="7" customWidth="1"/>
    <col min="18" max="18" width="13.00390625" style="7" customWidth="1"/>
    <col min="19" max="19" width="22.140625" style="7" customWidth="1"/>
    <col min="20" max="20" width="10.7109375" style="7" customWidth="1"/>
    <col min="21" max="21" width="27.421875" style="7" customWidth="1"/>
    <col min="22" max="16384" width="9.140625" style="7" customWidth="1"/>
  </cols>
  <sheetData>
    <row r="1" spans="14:15" ht="3.75" customHeight="1">
      <c r="N1" s="33"/>
      <c r="O1" s="124"/>
    </row>
    <row r="2" spans="5:15" ht="30" customHeight="1">
      <c r="E2" s="80" t="s">
        <v>179</v>
      </c>
      <c r="O2" s="124"/>
    </row>
    <row r="3" spans="5:15" ht="18" customHeight="1">
      <c r="E3" s="147"/>
      <c r="O3" s="124"/>
    </row>
    <row r="4" spans="2:15" ht="18">
      <c r="B4" s="133" t="s">
        <v>138</v>
      </c>
      <c r="L4" s="113"/>
      <c r="O4" s="124"/>
    </row>
    <row r="5" spans="1:16" ht="49.5" customHeight="1" thickBot="1">
      <c r="A5" s="40"/>
      <c r="B5" s="41"/>
      <c r="C5" s="42"/>
      <c r="D5" s="43"/>
      <c r="E5" s="43"/>
      <c r="F5" s="43"/>
      <c r="G5" s="6"/>
      <c r="H5" s="43"/>
      <c r="I5" s="6"/>
      <c r="J5" s="25" t="s">
        <v>154</v>
      </c>
      <c r="L5" s="25" t="s">
        <v>154</v>
      </c>
      <c r="N5" s="25" t="s">
        <v>170</v>
      </c>
      <c r="O5" s="125" t="s">
        <v>172</v>
      </c>
      <c r="P5" s="22"/>
    </row>
    <row r="6" spans="1:16" s="9" customFormat="1" ht="17.25" thickBot="1" thickTop="1">
      <c r="A6" s="44"/>
      <c r="B6" s="41"/>
      <c r="C6" s="41"/>
      <c r="D6" s="41"/>
      <c r="E6" s="41"/>
      <c r="F6" s="41"/>
      <c r="G6" s="8"/>
      <c r="H6" s="41"/>
      <c r="I6" s="8"/>
      <c r="J6" s="45" t="s">
        <v>94</v>
      </c>
      <c r="K6"/>
      <c r="L6" s="89" t="s">
        <v>95</v>
      </c>
      <c r="M6"/>
      <c r="N6" s="45" t="s">
        <v>119</v>
      </c>
      <c r="O6" s="181" t="s">
        <v>246</v>
      </c>
      <c r="P6" s="45" t="s">
        <v>258</v>
      </c>
    </row>
    <row r="7" spans="1:16" s="13" customFormat="1" ht="16.5" thickTop="1">
      <c r="A7" s="46"/>
      <c r="B7" s="47" t="s">
        <v>0</v>
      </c>
      <c r="C7" s="47"/>
      <c r="D7" s="47"/>
      <c r="E7" s="47"/>
      <c r="F7" s="47"/>
      <c r="G7" s="10"/>
      <c r="H7" s="47"/>
      <c r="I7" s="10"/>
      <c r="J7" s="11"/>
      <c r="K7"/>
      <c r="L7" s="90"/>
      <c r="M7"/>
      <c r="N7" s="12"/>
      <c r="O7" s="100"/>
      <c r="P7" s="105"/>
    </row>
    <row r="8" spans="1:16" s="13" customFormat="1" ht="12" customHeight="1">
      <c r="A8" s="46"/>
      <c r="B8" s="47"/>
      <c r="C8" s="47"/>
      <c r="D8" s="47"/>
      <c r="E8" s="47"/>
      <c r="F8" s="47"/>
      <c r="G8" s="10"/>
      <c r="H8" s="47"/>
      <c r="I8" s="10"/>
      <c r="J8" s="11"/>
      <c r="K8"/>
      <c r="L8" s="90"/>
      <c r="M8"/>
      <c r="N8" s="12"/>
      <c r="O8" s="100"/>
      <c r="P8" s="105"/>
    </row>
    <row r="9" spans="1:16" ht="25.5" customHeight="1">
      <c r="A9" s="40"/>
      <c r="B9" s="41"/>
      <c r="C9" s="48" t="s">
        <v>1</v>
      </c>
      <c r="D9" s="43"/>
      <c r="E9" s="43"/>
      <c r="F9" s="43" t="s">
        <v>120</v>
      </c>
      <c r="G9" s="6"/>
      <c r="H9" s="148" t="s">
        <v>171</v>
      </c>
      <c r="I9" s="6"/>
      <c r="J9" s="14"/>
      <c r="P9" s="22"/>
    </row>
    <row r="10" spans="1:16" ht="16.5" thickBot="1">
      <c r="A10" s="40"/>
      <c r="B10" s="41"/>
      <c r="C10" s="43"/>
      <c r="D10" s="43" t="s">
        <v>2</v>
      </c>
      <c r="E10" s="43"/>
      <c r="F10" s="50" t="s">
        <v>121</v>
      </c>
      <c r="G10" s="6"/>
      <c r="H10" s="179" t="s">
        <v>253</v>
      </c>
      <c r="I10" s="179" t="s">
        <v>239</v>
      </c>
      <c r="J10" s="14"/>
      <c r="P10" s="180" t="s">
        <v>254</v>
      </c>
    </row>
    <row r="11" spans="1:17" ht="15.75">
      <c r="A11" s="40"/>
      <c r="C11" s="49"/>
      <c r="D11" s="43"/>
      <c r="E11" s="43" t="s">
        <v>3</v>
      </c>
      <c r="F11" s="16">
        <v>3000</v>
      </c>
      <c r="G11" s="6"/>
      <c r="H11" s="152">
        <v>3000</v>
      </c>
      <c r="I11" s="149" t="s">
        <v>149</v>
      </c>
      <c r="J11" s="16">
        <f>90*2820</f>
        <v>253800</v>
      </c>
      <c r="L11" s="154">
        <v>253750</v>
      </c>
      <c r="N11" s="16">
        <f>H11*91</f>
        <v>273000</v>
      </c>
      <c r="O11" s="101"/>
      <c r="P11" s="180" t="s">
        <v>251</v>
      </c>
      <c r="Q11" s="17" t="s">
        <v>84</v>
      </c>
    </row>
    <row r="12" spans="1:17" ht="16.5" thickBot="1">
      <c r="A12" s="40"/>
      <c r="C12" s="49"/>
      <c r="D12" s="43"/>
      <c r="E12" s="43" t="s">
        <v>4</v>
      </c>
      <c r="F12" s="16">
        <v>2900</v>
      </c>
      <c r="G12" s="18"/>
      <c r="H12" s="152">
        <v>2900</v>
      </c>
      <c r="I12" s="150" t="s">
        <v>150</v>
      </c>
      <c r="J12" s="19">
        <f>10*2720</f>
        <v>27200</v>
      </c>
      <c r="L12" s="155">
        <v>27200</v>
      </c>
      <c r="N12" s="16">
        <f>H12*9</f>
        <v>26100</v>
      </c>
      <c r="O12" s="101"/>
      <c r="P12" s="180" t="s">
        <v>252</v>
      </c>
      <c r="Q12" s="7" t="s">
        <v>84</v>
      </c>
    </row>
    <row r="13" spans="1:17" ht="15.75">
      <c r="A13" s="40"/>
      <c r="C13" s="51"/>
      <c r="D13" s="43" t="s">
        <v>5</v>
      </c>
      <c r="E13" s="43"/>
      <c r="G13" s="6"/>
      <c r="I13" s="151">
        <f>I12+I11</f>
        <v>100</v>
      </c>
      <c r="J13" s="16">
        <f>SUM(J11:J12)</f>
        <v>281000</v>
      </c>
      <c r="L13" s="156">
        <f>SUM(L11:L12)</f>
        <v>280950</v>
      </c>
      <c r="N13" s="97">
        <f>SUM(N11:N12)</f>
        <v>299100</v>
      </c>
      <c r="O13" s="175">
        <f>(N13-J13)/J13</f>
        <v>0.06441281138790035</v>
      </c>
      <c r="P13" s="22"/>
      <c r="Q13" s="7" t="s">
        <v>84</v>
      </c>
    </row>
    <row r="14" spans="1:16" ht="15.75">
      <c r="A14" s="40"/>
      <c r="B14" s="41"/>
      <c r="C14" s="43"/>
      <c r="D14" s="43" t="s">
        <v>6</v>
      </c>
      <c r="E14" s="43"/>
      <c r="G14" s="6"/>
      <c r="H14" s="43"/>
      <c r="I14" s="6"/>
      <c r="J14" s="16">
        <v>100</v>
      </c>
      <c r="L14" s="154">
        <v>100</v>
      </c>
      <c r="N14" s="16">
        <v>100</v>
      </c>
      <c r="O14" s="100" t="s">
        <v>84</v>
      </c>
      <c r="P14" s="22" t="s">
        <v>139</v>
      </c>
    </row>
    <row r="15" spans="1:16" ht="30.75">
      <c r="A15" s="40"/>
      <c r="B15" s="41"/>
      <c r="C15" s="43"/>
      <c r="D15" s="43" t="s">
        <v>155</v>
      </c>
      <c r="E15" s="43"/>
      <c r="G15" s="6"/>
      <c r="H15" s="43"/>
      <c r="I15" s="6"/>
      <c r="J15" s="16">
        <v>30300</v>
      </c>
      <c r="L15" s="154">
        <v>30300</v>
      </c>
      <c r="N15" s="16">
        <f>101*300</f>
        <v>30300</v>
      </c>
      <c r="P15" s="22" t="s">
        <v>151</v>
      </c>
    </row>
    <row r="16" spans="1:16" ht="15.75">
      <c r="A16" s="40"/>
      <c r="B16" s="41"/>
      <c r="C16" s="43"/>
      <c r="D16" s="43" t="s">
        <v>224</v>
      </c>
      <c r="E16" s="43"/>
      <c r="G16" s="6"/>
      <c r="H16" s="43"/>
      <c r="I16" s="6"/>
      <c r="J16" s="16"/>
      <c r="L16" s="154"/>
      <c r="N16" s="16">
        <v>1</v>
      </c>
      <c r="P16" s="22" t="s">
        <v>200</v>
      </c>
    </row>
    <row r="17" spans="1:16" ht="15.75">
      <c r="A17" s="40"/>
      <c r="B17" s="41"/>
      <c r="C17" s="43"/>
      <c r="D17" s="43" t="s">
        <v>89</v>
      </c>
      <c r="E17" s="43"/>
      <c r="G17" s="6"/>
      <c r="H17" s="43"/>
      <c r="I17" s="6"/>
      <c r="J17" s="16" t="s">
        <v>84</v>
      </c>
      <c r="L17" s="154"/>
      <c r="N17" s="16" t="s">
        <v>84</v>
      </c>
      <c r="P17" s="22" t="s">
        <v>84</v>
      </c>
    </row>
    <row r="18" spans="1:16" ht="15.75">
      <c r="A18" s="40"/>
      <c r="B18" s="41"/>
      <c r="C18" s="43"/>
      <c r="D18" s="43"/>
      <c r="E18" s="43" t="s">
        <v>106</v>
      </c>
      <c r="F18" s="43"/>
      <c r="G18" s="6"/>
      <c r="H18" s="43"/>
      <c r="I18" s="6"/>
      <c r="J18" s="16"/>
      <c r="L18" s="154">
        <v>2101</v>
      </c>
      <c r="P18" s="22"/>
    </row>
    <row r="19" spans="1:16" ht="15.75">
      <c r="A19" s="40"/>
      <c r="B19" s="41"/>
      <c r="C19" s="43"/>
      <c r="E19" s="43" t="s">
        <v>92</v>
      </c>
      <c r="F19" s="43"/>
      <c r="G19" s="6"/>
      <c r="H19" s="43"/>
      <c r="I19" s="6"/>
      <c r="J19" s="16"/>
      <c r="L19" s="154">
        <v>30.5</v>
      </c>
      <c r="N19" s="16" t="s">
        <v>84</v>
      </c>
      <c r="P19" s="22"/>
    </row>
    <row r="20" spans="1:16" ht="15.75">
      <c r="A20" s="40"/>
      <c r="B20" s="41"/>
      <c r="C20" s="43"/>
      <c r="D20" s="43" t="s">
        <v>90</v>
      </c>
      <c r="E20" s="43"/>
      <c r="F20" s="43"/>
      <c r="G20" s="6"/>
      <c r="H20" s="43"/>
      <c r="I20" s="6"/>
      <c r="J20" s="16" t="s">
        <v>84</v>
      </c>
      <c r="L20" s="154">
        <v>157.47</v>
      </c>
      <c r="P20" s="22" t="s">
        <v>84</v>
      </c>
    </row>
    <row r="21" spans="1:16" ht="15.75">
      <c r="A21" s="40"/>
      <c r="B21" s="41"/>
      <c r="C21" s="43"/>
      <c r="D21" s="43" t="s">
        <v>7</v>
      </c>
      <c r="E21" s="43"/>
      <c r="F21" s="43"/>
      <c r="G21" s="6"/>
      <c r="H21" s="43"/>
      <c r="I21" s="6"/>
      <c r="J21" s="16">
        <v>1627</v>
      </c>
      <c r="L21" s="154">
        <v>1627</v>
      </c>
      <c r="N21" s="16">
        <v>2079</v>
      </c>
      <c r="O21" s="101">
        <f>(N21-J21)/J21</f>
        <v>0.2778119237861094</v>
      </c>
      <c r="P21" s="22" t="s">
        <v>201</v>
      </c>
    </row>
    <row r="22" spans="1:16" ht="16.5" thickBot="1">
      <c r="A22" s="40"/>
      <c r="B22" s="41"/>
      <c r="C22" s="43"/>
      <c r="D22" s="43" t="s">
        <v>8</v>
      </c>
      <c r="E22" s="43"/>
      <c r="F22" s="43"/>
      <c r="G22" s="18" t="s">
        <v>84</v>
      </c>
      <c r="H22" s="43"/>
      <c r="I22" s="18" t="s">
        <v>84</v>
      </c>
      <c r="J22" s="19">
        <v>419</v>
      </c>
      <c r="L22" s="155">
        <v>419</v>
      </c>
      <c r="N22" s="19">
        <v>432</v>
      </c>
      <c r="O22" s="101">
        <f>(N22-J22)/J22</f>
        <v>0.031026252983293555</v>
      </c>
      <c r="P22" s="106" t="s">
        <v>84</v>
      </c>
    </row>
    <row r="23" spans="1:16" ht="15.75">
      <c r="A23" s="40"/>
      <c r="B23" s="41"/>
      <c r="C23" s="43" t="s">
        <v>9</v>
      </c>
      <c r="D23" s="43"/>
      <c r="E23" s="43"/>
      <c r="F23" s="43"/>
      <c r="G23" s="6"/>
      <c r="H23" s="43"/>
      <c r="I23" s="6"/>
      <c r="J23" s="20">
        <f>SUM(J13:J22)</f>
        <v>313446</v>
      </c>
      <c r="L23" s="153">
        <f>SUM(L13:L22)</f>
        <v>315684.97</v>
      </c>
      <c r="N23" s="82">
        <f>SUM(N13:N22)</f>
        <v>332012</v>
      </c>
      <c r="O23" s="175">
        <f>(N23-J23)/J23</f>
        <v>0.05923189321286601</v>
      </c>
      <c r="P23" s="22"/>
    </row>
    <row r="24" spans="1:16" ht="15.75">
      <c r="A24" s="40"/>
      <c r="B24" s="41"/>
      <c r="C24" s="43"/>
      <c r="D24" s="43"/>
      <c r="E24" s="43"/>
      <c r="F24" s="43"/>
      <c r="G24" s="6"/>
      <c r="H24" s="43"/>
      <c r="I24" s="6"/>
      <c r="J24" s="16"/>
      <c r="L24" s="154"/>
      <c r="O24" s="100" t="s">
        <v>84</v>
      </c>
      <c r="P24" s="22" t="s">
        <v>84</v>
      </c>
    </row>
    <row r="25" spans="1:16" ht="25.5" customHeight="1">
      <c r="A25" s="40"/>
      <c r="B25" s="41"/>
      <c r="C25" s="48" t="s">
        <v>10</v>
      </c>
      <c r="D25" s="43"/>
      <c r="E25" s="43"/>
      <c r="F25" s="43"/>
      <c r="G25" s="6"/>
      <c r="H25" s="43"/>
      <c r="I25" s="6"/>
      <c r="J25" s="16"/>
      <c r="L25" s="154"/>
      <c r="P25" s="22"/>
    </row>
    <row r="26" spans="1:16" ht="15.75">
      <c r="A26" s="40"/>
      <c r="B26" s="41"/>
      <c r="C26" s="43"/>
      <c r="D26" s="43" t="s">
        <v>11</v>
      </c>
      <c r="E26" s="43"/>
      <c r="F26" s="43"/>
      <c r="G26" s="6"/>
      <c r="H26" s="43"/>
      <c r="I26" s="6"/>
      <c r="J26" s="16"/>
      <c r="L26" s="154"/>
      <c r="P26" s="22"/>
    </row>
    <row r="27" spans="1:18" ht="15.75">
      <c r="A27" s="40"/>
      <c r="B27" s="41"/>
      <c r="C27" s="43"/>
      <c r="D27" s="43"/>
      <c r="E27" s="43" t="s">
        <v>12</v>
      </c>
      <c r="F27" s="43"/>
      <c r="G27" s="6"/>
      <c r="H27" s="43"/>
      <c r="I27" s="6"/>
      <c r="J27" s="16">
        <v>43955</v>
      </c>
      <c r="L27" s="154">
        <v>43955</v>
      </c>
      <c r="N27" s="16">
        <v>44395</v>
      </c>
      <c r="O27" s="116">
        <f aca="true" t="shared" si="0" ref="O27:O33">(N27-J27)/J27</f>
        <v>0.0100102377431464</v>
      </c>
      <c r="P27" s="22"/>
      <c r="R27" s="122"/>
    </row>
    <row r="28" spans="1:17" ht="15.75">
      <c r="A28" s="40"/>
      <c r="B28" s="41"/>
      <c r="C28" s="43"/>
      <c r="D28" s="43"/>
      <c r="E28" s="43" t="s">
        <v>13</v>
      </c>
      <c r="F28" s="43"/>
      <c r="G28" s="6"/>
      <c r="H28" s="43"/>
      <c r="I28" s="6"/>
      <c r="J28" s="16">
        <v>3780</v>
      </c>
      <c r="L28" s="154">
        <v>3780</v>
      </c>
      <c r="N28" s="16">
        <v>3900</v>
      </c>
      <c r="O28" s="101">
        <f t="shared" si="0"/>
        <v>0.031746031746031744</v>
      </c>
      <c r="P28" s="22"/>
      <c r="Q28" s="94"/>
    </row>
    <row r="29" spans="1:16" ht="15.75">
      <c r="A29" s="40"/>
      <c r="B29" s="41"/>
      <c r="C29" s="43"/>
      <c r="D29" s="43"/>
      <c r="E29" s="43" t="s">
        <v>14</v>
      </c>
      <c r="F29" s="43"/>
      <c r="G29" s="6"/>
      <c r="H29" s="43"/>
      <c r="I29" s="6"/>
      <c r="J29" s="16">
        <v>6900</v>
      </c>
      <c r="L29" s="154">
        <v>6900</v>
      </c>
      <c r="N29" s="16">
        <v>6900</v>
      </c>
      <c r="O29" s="101">
        <f t="shared" si="0"/>
        <v>0</v>
      </c>
      <c r="P29" s="22" t="s">
        <v>140</v>
      </c>
    </row>
    <row r="30" spans="1:16" ht="15.75">
      <c r="A30" s="40"/>
      <c r="B30" s="41"/>
      <c r="C30" s="43"/>
      <c r="D30" s="43"/>
      <c r="E30" s="43" t="s">
        <v>108</v>
      </c>
      <c r="F30" s="43"/>
      <c r="G30" s="6"/>
      <c r="H30" s="43"/>
      <c r="I30" s="6"/>
      <c r="J30" s="16">
        <v>4150</v>
      </c>
      <c r="L30" s="154">
        <v>4150</v>
      </c>
      <c r="N30" s="16">
        <v>4290</v>
      </c>
      <c r="O30" s="101">
        <f t="shared" si="0"/>
        <v>0.033734939759036145</v>
      </c>
      <c r="P30" s="22" t="s">
        <v>240</v>
      </c>
    </row>
    <row r="31" spans="1:16" ht="15.75">
      <c r="A31" s="40"/>
      <c r="B31" s="41"/>
      <c r="C31" s="43"/>
      <c r="D31" s="43"/>
      <c r="E31" s="43" t="s">
        <v>15</v>
      </c>
      <c r="F31" s="43"/>
      <c r="G31" s="6"/>
      <c r="H31" s="43"/>
      <c r="I31" s="6"/>
      <c r="J31" s="16">
        <v>250</v>
      </c>
      <c r="L31" s="154">
        <v>324</v>
      </c>
      <c r="N31" s="16">
        <v>300</v>
      </c>
      <c r="O31" s="101">
        <f t="shared" si="0"/>
        <v>0.2</v>
      </c>
      <c r="P31" s="22" t="s">
        <v>141</v>
      </c>
    </row>
    <row r="32" spans="1:16" ht="15.75">
      <c r="A32" s="40"/>
      <c r="B32" s="41"/>
      <c r="C32" s="43"/>
      <c r="D32" s="43"/>
      <c r="E32" s="43" t="s">
        <v>16</v>
      </c>
      <c r="F32" s="43"/>
      <c r="G32" s="6"/>
      <c r="H32" s="43"/>
      <c r="I32" s="6"/>
      <c r="J32" s="16">
        <f>J27*0.07</f>
        <v>3076.8500000000004</v>
      </c>
      <c r="L32" s="156">
        <f>L27*0.07</f>
        <v>3076.8500000000004</v>
      </c>
      <c r="N32" s="16">
        <f>N27*0.07</f>
        <v>3107.65</v>
      </c>
      <c r="O32" s="116">
        <f t="shared" si="0"/>
        <v>0.01001023774314631</v>
      </c>
      <c r="P32" s="22" t="s">
        <v>142</v>
      </c>
    </row>
    <row r="33" spans="1:16" ht="15.75">
      <c r="A33" s="40"/>
      <c r="B33" s="41"/>
      <c r="C33" s="43"/>
      <c r="D33" s="43"/>
      <c r="E33" s="43" t="s">
        <v>107</v>
      </c>
      <c r="F33" s="43"/>
      <c r="G33" s="6"/>
      <c r="H33" s="43"/>
      <c r="I33" s="6"/>
      <c r="J33" s="16">
        <v>1055</v>
      </c>
      <c r="L33" s="154">
        <v>975</v>
      </c>
      <c r="N33" s="16">
        <v>1100</v>
      </c>
      <c r="O33" s="101">
        <f t="shared" si="0"/>
        <v>0.04265402843601896</v>
      </c>
      <c r="P33" s="22" t="s">
        <v>143</v>
      </c>
    </row>
    <row r="34" spans="1:16" ht="16.5" thickBot="1">
      <c r="A34" s="40"/>
      <c r="B34" s="41"/>
      <c r="C34" s="43"/>
      <c r="D34" s="43"/>
      <c r="E34" s="43" t="s">
        <v>17</v>
      </c>
      <c r="F34" s="43"/>
      <c r="G34" s="6"/>
      <c r="H34" s="43"/>
      <c r="I34" s="6"/>
      <c r="J34" s="19" t="s">
        <v>84</v>
      </c>
      <c r="L34" s="155" t="s">
        <v>84</v>
      </c>
      <c r="N34" s="19">
        <v>0</v>
      </c>
      <c r="O34" s="101"/>
      <c r="P34" s="22"/>
    </row>
    <row r="35" spans="1:16" ht="15.75">
      <c r="A35" s="40"/>
      <c r="B35" s="41"/>
      <c r="C35" s="43"/>
      <c r="D35" s="43" t="s">
        <v>18</v>
      </c>
      <c r="E35" s="43"/>
      <c r="F35" s="43"/>
      <c r="G35" s="6"/>
      <c r="H35" s="43"/>
      <c r="I35" s="6"/>
      <c r="J35" s="20">
        <f>SUM(J27:J34)</f>
        <v>63166.85</v>
      </c>
      <c r="L35" s="153">
        <f>SUM(L27:L34)</f>
        <v>63160.85</v>
      </c>
      <c r="N35" s="82">
        <f>SUM(N27:N34)</f>
        <v>63992.65</v>
      </c>
      <c r="O35" s="175">
        <f>(N35-J35)/J35</f>
        <v>0.013073312979830448</v>
      </c>
      <c r="P35" s="22"/>
    </row>
    <row r="36" spans="1:16" ht="18" customHeight="1">
      <c r="A36" s="40"/>
      <c r="B36" s="41"/>
      <c r="C36" s="43"/>
      <c r="D36" s="43" t="s">
        <v>19</v>
      </c>
      <c r="E36" s="43"/>
      <c r="F36" s="43"/>
      <c r="G36" s="6"/>
      <c r="H36" s="43"/>
      <c r="I36" s="6"/>
      <c r="J36" s="16"/>
      <c r="L36" s="154"/>
      <c r="O36" s="100" t="s">
        <v>84</v>
      </c>
      <c r="P36" s="22"/>
    </row>
    <row r="37" spans="1:16" ht="15.75">
      <c r="A37" s="40"/>
      <c r="B37" s="41"/>
      <c r="C37" s="43"/>
      <c r="D37" s="43"/>
      <c r="E37" s="43" t="s">
        <v>20</v>
      </c>
      <c r="F37" s="43"/>
      <c r="G37" s="6"/>
      <c r="H37" s="43"/>
      <c r="I37" s="6"/>
      <c r="J37" s="16">
        <v>500</v>
      </c>
      <c r="L37" s="154">
        <v>500</v>
      </c>
      <c r="N37" s="16">
        <v>1500</v>
      </c>
      <c r="O37" s="101">
        <f>(N37-J37)/J37</f>
        <v>2</v>
      </c>
      <c r="P37" s="22" t="s">
        <v>190</v>
      </c>
    </row>
    <row r="38" spans="1:16" ht="16.5" thickBot="1">
      <c r="A38" s="40"/>
      <c r="B38" s="41"/>
      <c r="C38" s="43"/>
      <c r="D38" s="43"/>
      <c r="E38" s="43" t="s">
        <v>21</v>
      </c>
      <c r="F38" s="43"/>
      <c r="G38" s="6"/>
      <c r="H38" s="43"/>
      <c r="I38" s="6"/>
      <c r="J38" s="19" t="s">
        <v>84</v>
      </c>
      <c r="L38" s="155" t="s">
        <v>84</v>
      </c>
      <c r="N38" s="19" t="s">
        <v>84</v>
      </c>
      <c r="O38" s="100" t="s">
        <v>84</v>
      </c>
      <c r="P38" s="22" t="s">
        <v>84</v>
      </c>
    </row>
    <row r="39" spans="1:16" ht="15.75">
      <c r="A39" s="40"/>
      <c r="B39" s="41"/>
      <c r="C39" s="43"/>
      <c r="D39" s="43" t="s">
        <v>22</v>
      </c>
      <c r="E39" s="43"/>
      <c r="F39" s="43"/>
      <c r="G39" s="6"/>
      <c r="H39" s="43"/>
      <c r="I39" s="6"/>
      <c r="J39" s="20">
        <f>SUM(J37:J38)</f>
        <v>500</v>
      </c>
      <c r="L39" s="153">
        <f>SUM(L37:L38)</f>
        <v>500</v>
      </c>
      <c r="N39" s="82">
        <f>SUM(N37:N38)</f>
        <v>1500</v>
      </c>
      <c r="O39" s="175">
        <f>(N39-J39)/J39</f>
        <v>2</v>
      </c>
      <c r="P39" s="22"/>
    </row>
    <row r="40" spans="1:16" ht="25.5" customHeight="1">
      <c r="A40" s="40"/>
      <c r="B40" s="41"/>
      <c r="C40" s="43"/>
      <c r="D40" s="43" t="s">
        <v>91</v>
      </c>
      <c r="E40" s="43"/>
      <c r="F40" s="43"/>
      <c r="G40" s="6"/>
      <c r="H40" s="43"/>
      <c r="I40" s="6"/>
      <c r="J40" s="16"/>
      <c r="L40" s="154" t="s">
        <v>84</v>
      </c>
      <c r="P40" s="22"/>
    </row>
    <row r="41" spans="1:16" ht="15.75">
      <c r="A41" s="40"/>
      <c r="B41" s="41"/>
      <c r="C41" s="43"/>
      <c r="D41" s="43"/>
      <c r="E41" s="43" t="s">
        <v>23</v>
      </c>
      <c r="F41" s="43"/>
      <c r="G41" s="6"/>
      <c r="H41" s="43"/>
      <c r="I41" s="6"/>
      <c r="J41" s="16">
        <v>1100</v>
      </c>
      <c r="L41" s="154">
        <v>1050</v>
      </c>
      <c r="N41" s="16">
        <v>1200</v>
      </c>
      <c r="O41" s="101">
        <f aca="true" t="shared" si="1" ref="O41:O47">(N41-J41)/J41</f>
        <v>0.09090909090909091</v>
      </c>
      <c r="P41" s="22"/>
    </row>
    <row r="42" spans="1:16" ht="15.75">
      <c r="A42" s="40"/>
      <c r="B42" s="41"/>
      <c r="C42" s="43"/>
      <c r="D42" s="43"/>
      <c r="E42" s="43" t="s">
        <v>24</v>
      </c>
      <c r="F42" s="43"/>
      <c r="G42" s="6"/>
      <c r="H42" s="43"/>
      <c r="I42" s="6"/>
      <c r="J42" s="16">
        <v>1000</v>
      </c>
      <c r="L42" s="157">
        <v>990</v>
      </c>
      <c r="N42" s="16">
        <v>1000</v>
      </c>
      <c r="O42" s="101">
        <f t="shared" si="1"/>
        <v>0</v>
      </c>
      <c r="P42" s="22" t="s">
        <v>144</v>
      </c>
    </row>
    <row r="43" spans="1:16" ht="15.75">
      <c r="A43" s="40"/>
      <c r="B43" s="41"/>
      <c r="C43" s="43"/>
      <c r="D43" s="43"/>
      <c r="E43" s="43" t="s">
        <v>25</v>
      </c>
      <c r="F43" s="43"/>
      <c r="G43" s="6"/>
      <c r="H43" s="43"/>
      <c r="I43" s="6"/>
      <c r="J43" s="16">
        <v>200</v>
      </c>
      <c r="L43" s="154">
        <v>200</v>
      </c>
      <c r="N43" s="16">
        <v>200</v>
      </c>
      <c r="O43" s="101">
        <f t="shared" si="1"/>
        <v>0</v>
      </c>
      <c r="P43" s="22"/>
    </row>
    <row r="44" spans="1:16" ht="16.5" customHeight="1">
      <c r="A44" s="40"/>
      <c r="B44" s="41"/>
      <c r="C44" s="43"/>
      <c r="D44" s="43"/>
      <c r="E44" s="43" t="s">
        <v>26</v>
      </c>
      <c r="F44" s="43"/>
      <c r="G44" s="6"/>
      <c r="H44" s="43"/>
      <c r="I44" s="6"/>
      <c r="J44" s="16">
        <v>600</v>
      </c>
      <c r="L44" s="154">
        <v>893</v>
      </c>
      <c r="N44" s="16">
        <v>600</v>
      </c>
      <c r="O44" s="101">
        <f t="shared" si="1"/>
        <v>0</v>
      </c>
      <c r="P44" s="22"/>
    </row>
    <row r="45" spans="1:16" ht="18" customHeight="1">
      <c r="A45" s="40"/>
      <c r="B45" s="41"/>
      <c r="C45" s="43"/>
      <c r="D45" s="43"/>
      <c r="E45" s="43" t="s">
        <v>27</v>
      </c>
      <c r="F45" s="43"/>
      <c r="G45" s="6"/>
      <c r="H45" s="43"/>
      <c r="I45" s="6"/>
      <c r="J45" s="16">
        <v>600</v>
      </c>
      <c r="L45" s="154">
        <v>600</v>
      </c>
      <c r="N45" s="16">
        <v>500</v>
      </c>
      <c r="O45" s="101">
        <f>(N45-J45)/J45</f>
        <v>-0.16666666666666666</v>
      </c>
      <c r="P45" s="22"/>
    </row>
    <row r="46" spans="1:16" ht="16.5" thickBot="1">
      <c r="A46" s="40"/>
      <c r="B46" s="41"/>
      <c r="C46" s="43"/>
      <c r="D46" s="43"/>
      <c r="E46" s="43" t="s">
        <v>148</v>
      </c>
      <c r="F46" s="43"/>
      <c r="G46" s="6"/>
      <c r="H46" s="43"/>
      <c r="I46" s="6"/>
      <c r="J46" s="19"/>
      <c r="L46" s="155"/>
      <c r="N46" s="19"/>
      <c r="O46" s="101"/>
      <c r="P46" s="22"/>
    </row>
    <row r="47" spans="1:16" ht="15.75">
      <c r="A47" s="40"/>
      <c r="B47" s="41"/>
      <c r="C47" s="43"/>
      <c r="D47" s="43" t="s">
        <v>28</v>
      </c>
      <c r="E47" s="43"/>
      <c r="F47" s="43"/>
      <c r="G47" s="6"/>
      <c r="H47" s="43"/>
      <c r="I47" s="6"/>
      <c r="J47" s="20">
        <f>SUM(J41:J46)</f>
        <v>3500</v>
      </c>
      <c r="L47" s="153">
        <f>SUM(L41:L46)</f>
        <v>3733</v>
      </c>
      <c r="N47" s="82">
        <f>SUM(N41:N46)</f>
        <v>3500</v>
      </c>
      <c r="O47" s="175">
        <f t="shared" si="1"/>
        <v>0</v>
      </c>
      <c r="P47" s="22"/>
    </row>
    <row r="48" spans="1:18" ht="25.5" customHeight="1">
      <c r="A48" s="40"/>
      <c r="B48" s="41"/>
      <c r="C48" s="43"/>
      <c r="D48" s="43" t="s">
        <v>29</v>
      </c>
      <c r="E48" s="43"/>
      <c r="F48" s="43"/>
      <c r="G48" s="6"/>
      <c r="H48" s="43"/>
      <c r="I48" s="6"/>
      <c r="J48" s="16" t="s">
        <v>84</v>
      </c>
      <c r="L48" s="154"/>
      <c r="N48" s="16" t="s">
        <v>84</v>
      </c>
      <c r="P48" s="22"/>
      <c r="R48" s="65"/>
    </row>
    <row r="49" spans="1:20" ht="16.5" thickBot="1">
      <c r="A49" s="40"/>
      <c r="B49" s="41"/>
      <c r="C49" s="43"/>
      <c r="D49" s="43"/>
      <c r="E49" s="43" t="s">
        <v>109</v>
      </c>
      <c r="F49" s="43"/>
      <c r="G49" s="6"/>
      <c r="H49" s="43"/>
      <c r="I49" s="6"/>
      <c r="J49" s="16">
        <v>250</v>
      </c>
      <c r="L49" s="154">
        <f>250+1065</f>
        <v>1315</v>
      </c>
      <c r="N49" s="16">
        <v>300</v>
      </c>
      <c r="O49" s="101">
        <f>(N49-J49)/J49</f>
        <v>0.2</v>
      </c>
      <c r="P49" s="22" t="s">
        <v>202</v>
      </c>
      <c r="R49" s="115"/>
      <c r="T49" s="65"/>
    </row>
    <row r="50" spans="1:21" ht="15.75">
      <c r="A50" s="40"/>
      <c r="B50" s="41"/>
      <c r="C50" s="43"/>
      <c r="D50" s="43" t="s">
        <v>30</v>
      </c>
      <c r="E50" s="43"/>
      <c r="F50" s="43"/>
      <c r="G50" s="6"/>
      <c r="H50" s="43"/>
      <c r="I50" s="6"/>
      <c r="J50" s="98">
        <f>SUM(J49:J49)</f>
        <v>250</v>
      </c>
      <c r="L50" s="158">
        <f>SUM(L49:L49)</f>
        <v>1315</v>
      </c>
      <c r="N50" s="99">
        <f>SUM(N49:N49)</f>
        <v>300</v>
      </c>
      <c r="O50" s="175">
        <f>(N50-J50)/J50</f>
        <v>0.2</v>
      </c>
      <c r="P50" s="22"/>
      <c r="R50" s="114"/>
      <c r="S50" s="65"/>
      <c r="U50" s="65"/>
    </row>
    <row r="51" spans="1:19" ht="24.75" customHeight="1">
      <c r="A51" s="40"/>
      <c r="B51" s="41"/>
      <c r="C51" s="43"/>
      <c r="D51" s="43" t="s">
        <v>156</v>
      </c>
      <c r="E51" s="43"/>
      <c r="F51" s="6"/>
      <c r="G51" s="16"/>
      <c r="H51" s="6"/>
      <c r="I51" s="16"/>
      <c r="J51" s="15"/>
      <c r="L51" s="154"/>
      <c r="N51" s="86"/>
      <c r="O51" s="102" t="s">
        <v>84</v>
      </c>
      <c r="P51" s="22" t="s">
        <v>84</v>
      </c>
      <c r="R51" s="114"/>
      <c r="S51" s="65"/>
    </row>
    <row r="52" spans="1:21" ht="15.75">
      <c r="A52" s="40"/>
      <c r="B52" s="41"/>
      <c r="C52" s="43"/>
      <c r="D52" s="43"/>
      <c r="E52" s="43" t="s">
        <v>111</v>
      </c>
      <c r="F52" s="43"/>
      <c r="G52" s="6"/>
      <c r="H52" s="43"/>
      <c r="I52" s="6"/>
      <c r="J52" s="15"/>
      <c r="L52" s="159"/>
      <c r="N52" s="15">
        <v>400</v>
      </c>
      <c r="O52" s="101"/>
      <c r="P52" s="22" t="s">
        <v>203</v>
      </c>
      <c r="S52" s="65"/>
      <c r="U52" s="65"/>
    </row>
    <row r="53" spans="1:21" ht="15.75">
      <c r="A53" s="40"/>
      <c r="B53" s="41"/>
      <c r="C53" s="43"/>
      <c r="D53" s="43"/>
      <c r="E53" s="43" t="s">
        <v>112</v>
      </c>
      <c r="F53" s="43"/>
      <c r="G53" s="6"/>
      <c r="H53" s="43"/>
      <c r="I53" s="6"/>
      <c r="J53" s="14"/>
      <c r="L53" s="159">
        <v>100</v>
      </c>
      <c r="N53" s="15"/>
      <c r="O53" s="101"/>
      <c r="P53" s="22" t="s">
        <v>204</v>
      </c>
      <c r="S53" s="65"/>
      <c r="T53" s="16"/>
      <c r="U53" s="65"/>
    </row>
    <row r="54" spans="1:18" ht="15.75">
      <c r="A54" s="40"/>
      <c r="B54" s="41"/>
      <c r="C54" s="43"/>
      <c r="D54" s="43"/>
      <c r="E54" s="43" t="s">
        <v>113</v>
      </c>
      <c r="F54" s="43"/>
      <c r="G54" s="6"/>
      <c r="H54" s="43"/>
      <c r="I54" s="6"/>
      <c r="J54" s="15"/>
      <c r="L54" s="159"/>
      <c r="N54" s="15">
        <v>100</v>
      </c>
      <c r="O54" s="101"/>
      <c r="P54" s="114"/>
      <c r="R54" s="65"/>
    </row>
    <row r="55" spans="1:19" ht="31.5" thickBot="1">
      <c r="A55" s="40"/>
      <c r="B55" s="41"/>
      <c r="C55" s="43"/>
      <c r="D55" s="43"/>
      <c r="E55" s="43" t="s">
        <v>129</v>
      </c>
      <c r="F55" s="43"/>
      <c r="G55" s="6"/>
      <c r="H55" s="43"/>
      <c r="I55" s="6"/>
      <c r="J55" s="143">
        <v>100</v>
      </c>
      <c r="L55" s="160">
        <f>2520+400</f>
        <v>2920</v>
      </c>
      <c r="N55" s="143">
        <v>1500</v>
      </c>
      <c r="O55" s="101">
        <f>(N55-J55)/J55</f>
        <v>14</v>
      </c>
      <c r="P55" s="22" t="s">
        <v>241</v>
      </c>
      <c r="S55" s="65"/>
    </row>
    <row r="56" spans="1:18" ht="15.75">
      <c r="A56" s="40"/>
      <c r="B56" s="41"/>
      <c r="C56" s="43"/>
      <c r="D56" s="43" t="s">
        <v>118</v>
      </c>
      <c r="E56" s="43"/>
      <c r="F56" s="43"/>
      <c r="G56" s="6"/>
      <c r="H56" s="43"/>
      <c r="I56" s="6"/>
      <c r="J56" s="26">
        <f>SUM(J52:J55)</f>
        <v>100</v>
      </c>
      <c r="L56" s="161">
        <f>SUM(L52:L55)</f>
        <v>3020</v>
      </c>
      <c r="N56" s="76">
        <f>SUM(N52:N55)</f>
        <v>2000</v>
      </c>
      <c r="O56" s="175">
        <f>(N56-J56)/J56</f>
        <v>19</v>
      </c>
      <c r="P56" s="22"/>
      <c r="R56" s="65"/>
    </row>
    <row r="57" spans="1:19" ht="25.5" customHeight="1">
      <c r="A57" s="40"/>
      <c r="B57" s="41"/>
      <c r="C57" s="43"/>
      <c r="D57" s="43" t="s">
        <v>31</v>
      </c>
      <c r="E57" s="43"/>
      <c r="F57" s="43"/>
      <c r="G57" s="6"/>
      <c r="H57" s="43"/>
      <c r="I57" s="6"/>
      <c r="J57" s="16"/>
      <c r="L57" s="154"/>
      <c r="P57" s="22"/>
      <c r="S57" s="65"/>
    </row>
    <row r="58" spans="1:19" ht="15.75">
      <c r="A58" s="40"/>
      <c r="B58" s="41"/>
      <c r="C58" s="43"/>
      <c r="D58" s="43"/>
      <c r="E58" s="43" t="s">
        <v>32</v>
      </c>
      <c r="F58" s="43"/>
      <c r="G58" s="6"/>
      <c r="H58" s="43"/>
      <c r="I58" s="6"/>
      <c r="J58" s="16">
        <v>12000</v>
      </c>
      <c r="L58" s="154">
        <v>5000</v>
      </c>
      <c r="N58" s="16">
        <v>13000</v>
      </c>
      <c r="O58" s="101">
        <f aca="true" t="shared" si="2" ref="O58:O63">(N58-J58)/J58</f>
        <v>0.08333333333333333</v>
      </c>
      <c r="P58" s="22" t="s">
        <v>84</v>
      </c>
      <c r="S58" s="65"/>
    </row>
    <row r="59" spans="1:16" ht="15.75">
      <c r="A59" s="40"/>
      <c r="B59" s="41"/>
      <c r="C59" s="43"/>
      <c r="D59" s="43"/>
      <c r="E59" s="43" t="s">
        <v>33</v>
      </c>
      <c r="F59" s="43"/>
      <c r="G59" s="6"/>
      <c r="H59" s="43"/>
      <c r="I59" s="6"/>
      <c r="J59" s="16">
        <v>11000</v>
      </c>
      <c r="L59" s="154">
        <v>12285</v>
      </c>
      <c r="N59" s="16">
        <v>13000</v>
      </c>
      <c r="O59" s="101">
        <f t="shared" si="2"/>
        <v>0.18181818181818182</v>
      </c>
      <c r="P59" s="22" t="s">
        <v>84</v>
      </c>
    </row>
    <row r="60" spans="1:16" ht="15.75">
      <c r="A60" s="40"/>
      <c r="B60" s="41"/>
      <c r="C60" s="43"/>
      <c r="D60" s="43"/>
      <c r="E60" s="43" t="s">
        <v>86</v>
      </c>
      <c r="F60" s="43"/>
      <c r="G60" s="6"/>
      <c r="H60" s="43"/>
      <c r="I60" s="6"/>
      <c r="J60" s="16">
        <v>2000</v>
      </c>
      <c r="L60" s="154">
        <v>0</v>
      </c>
      <c r="N60" s="16">
        <v>2000</v>
      </c>
      <c r="O60" s="101">
        <f t="shared" si="2"/>
        <v>0</v>
      </c>
      <c r="P60" s="22"/>
    </row>
    <row r="61" spans="1:18" ht="30.75" customHeight="1">
      <c r="A61" s="40"/>
      <c r="B61" s="41"/>
      <c r="C61" s="43"/>
      <c r="D61" s="43"/>
      <c r="E61" s="43" t="s">
        <v>34</v>
      </c>
      <c r="F61" s="43"/>
      <c r="G61" s="6"/>
      <c r="H61" s="43"/>
      <c r="I61" s="6"/>
      <c r="J61" s="16">
        <v>9000</v>
      </c>
      <c r="L61" s="154">
        <v>3000</v>
      </c>
      <c r="N61" s="16">
        <v>9000</v>
      </c>
      <c r="O61" s="101">
        <f t="shared" si="2"/>
        <v>0</v>
      </c>
      <c r="P61" s="22" t="s">
        <v>152</v>
      </c>
      <c r="R61" s="22"/>
    </row>
    <row r="62" spans="1:16" ht="15.75" customHeight="1">
      <c r="A62" s="40"/>
      <c r="B62" s="41"/>
      <c r="C62" s="43"/>
      <c r="D62" s="43"/>
      <c r="E62" s="43" t="s">
        <v>110</v>
      </c>
      <c r="F62" s="43"/>
      <c r="G62" s="6"/>
      <c r="H62" s="43"/>
      <c r="I62" s="6"/>
      <c r="J62" s="16">
        <v>500</v>
      </c>
      <c r="L62" s="154">
        <v>677.64</v>
      </c>
      <c r="N62" s="16">
        <v>500</v>
      </c>
      <c r="O62" s="101">
        <f t="shared" si="2"/>
        <v>0</v>
      </c>
      <c r="P62" s="22"/>
    </row>
    <row r="63" spans="1:16" ht="16.5" thickBot="1">
      <c r="A63" s="40"/>
      <c r="B63" s="41"/>
      <c r="C63" s="43"/>
      <c r="D63" s="43"/>
      <c r="E63" s="43" t="s">
        <v>35</v>
      </c>
      <c r="F63" s="43"/>
      <c r="G63" s="6"/>
      <c r="H63" s="43"/>
      <c r="I63" s="6"/>
      <c r="J63" s="19">
        <v>500</v>
      </c>
      <c r="L63" s="155">
        <v>0</v>
      </c>
      <c r="N63" s="19">
        <v>1000</v>
      </c>
      <c r="O63" s="101">
        <f t="shared" si="2"/>
        <v>1</v>
      </c>
      <c r="P63" s="22"/>
    </row>
    <row r="64" spans="1:16" ht="15.75">
      <c r="A64" s="40"/>
      <c r="B64" s="41"/>
      <c r="C64" s="43"/>
      <c r="D64" s="43" t="s">
        <v>36</v>
      </c>
      <c r="E64" s="43"/>
      <c r="F64" s="43"/>
      <c r="G64" s="18"/>
      <c r="H64" s="43"/>
      <c r="I64" s="18"/>
      <c r="J64" s="21">
        <f>SUM(J58:J63)</f>
        <v>35000</v>
      </c>
      <c r="L64" s="162">
        <f>SUM(L58:L63)</f>
        <v>20962.64</v>
      </c>
      <c r="N64" s="83">
        <f>SUM(N58:N63)</f>
        <v>38500</v>
      </c>
      <c r="O64" s="175">
        <f>(N64-J64)/J64</f>
        <v>0.1</v>
      </c>
      <c r="P64" s="22"/>
    </row>
    <row r="65" spans="1:16" ht="24" customHeight="1">
      <c r="A65" s="40"/>
      <c r="B65" s="41"/>
      <c r="C65" s="43"/>
      <c r="D65" s="43" t="s">
        <v>222</v>
      </c>
      <c r="E65" s="43"/>
      <c r="F65" s="43"/>
      <c r="G65" s="18"/>
      <c r="H65" s="43"/>
      <c r="I65" s="18"/>
      <c r="J65" s="21"/>
      <c r="L65" s="162"/>
      <c r="N65" s="83"/>
      <c r="O65" s="101"/>
      <c r="P65" s="22"/>
    </row>
    <row r="66" spans="1:16" ht="16.5" thickBot="1">
      <c r="A66" s="40"/>
      <c r="B66" s="41"/>
      <c r="C66" s="43"/>
      <c r="D66" s="43"/>
      <c r="E66" s="43" t="s">
        <v>187</v>
      </c>
      <c r="F66" s="43"/>
      <c r="G66" s="32"/>
      <c r="H66" s="43"/>
      <c r="I66" s="32"/>
      <c r="J66" s="138">
        <v>200</v>
      </c>
      <c r="L66" s="163">
        <v>200</v>
      </c>
      <c r="N66" s="138">
        <v>200</v>
      </c>
      <c r="O66" s="101">
        <f>(N66-J66)/J66</f>
        <v>0</v>
      </c>
      <c r="P66" s="22" t="s">
        <v>242</v>
      </c>
    </row>
    <row r="67" spans="1:16" ht="15.75">
      <c r="A67" s="40"/>
      <c r="B67" s="41"/>
      <c r="C67" s="43"/>
      <c r="D67" s="43" t="s">
        <v>223</v>
      </c>
      <c r="E67" s="43"/>
      <c r="F67" s="43"/>
      <c r="G67" s="18"/>
      <c r="H67" s="43"/>
      <c r="I67" s="18"/>
      <c r="J67" s="98">
        <f>SUM(J66)</f>
        <v>200</v>
      </c>
      <c r="L67" s="164">
        <f>SUM(L66)</f>
        <v>200</v>
      </c>
      <c r="N67" s="98">
        <f>SUM(N66)</f>
        <v>200</v>
      </c>
      <c r="O67" s="175">
        <f>(N67-J67)/J67</f>
        <v>0</v>
      </c>
      <c r="P67" s="22"/>
    </row>
    <row r="68" spans="1:16" ht="25.5" customHeight="1">
      <c r="A68" s="40"/>
      <c r="B68" s="41"/>
      <c r="C68" s="43"/>
      <c r="D68" s="43" t="s">
        <v>37</v>
      </c>
      <c r="E68" s="43"/>
      <c r="F68" s="43"/>
      <c r="G68" s="6"/>
      <c r="H68" s="43"/>
      <c r="I68" s="6"/>
      <c r="J68" s="16"/>
      <c r="L68" s="154"/>
      <c r="P68" s="22"/>
    </row>
    <row r="69" spans="1:16" ht="30.75">
      <c r="A69" s="40"/>
      <c r="B69" s="41"/>
      <c r="C69" s="43"/>
      <c r="D69" s="43"/>
      <c r="E69" s="88" t="s">
        <v>225</v>
      </c>
      <c r="F69" s="51"/>
      <c r="G69" s="32"/>
      <c r="H69" s="51"/>
      <c r="I69" s="32"/>
      <c r="J69" s="156">
        <v>2000</v>
      </c>
      <c r="L69" s="154"/>
      <c r="N69" s="172">
        <v>2000</v>
      </c>
      <c r="O69" s="101">
        <f aca="true" t="shared" si="3" ref="O69:O79">(N69-J69)/J69</f>
        <v>0</v>
      </c>
      <c r="P69" s="22" t="s">
        <v>255</v>
      </c>
    </row>
    <row r="70" spans="1:16" ht="15.75">
      <c r="A70" s="40"/>
      <c r="B70" s="41"/>
      <c r="C70" s="43"/>
      <c r="D70" s="43"/>
      <c r="E70" s="43" t="s">
        <v>38</v>
      </c>
      <c r="F70" s="43"/>
      <c r="G70" s="6"/>
      <c r="H70" s="43"/>
      <c r="I70" s="6"/>
      <c r="J70" s="16">
        <f>210*12</f>
        <v>2520</v>
      </c>
      <c r="L70" s="154">
        <v>2000</v>
      </c>
      <c r="N70" s="16">
        <v>2000</v>
      </c>
      <c r="O70" s="101">
        <f t="shared" si="3"/>
        <v>-0.20634920634920634</v>
      </c>
      <c r="P70" s="22" t="s">
        <v>205</v>
      </c>
    </row>
    <row r="71" spans="1:16" ht="30.75">
      <c r="A71" s="40"/>
      <c r="B71" s="41"/>
      <c r="C71" s="43"/>
      <c r="D71" s="43"/>
      <c r="E71" s="43" t="s">
        <v>39</v>
      </c>
      <c r="F71" s="43"/>
      <c r="G71" s="6"/>
      <c r="H71" s="43"/>
      <c r="I71" s="6"/>
      <c r="J71" s="16">
        <v>960</v>
      </c>
      <c r="L71" s="154">
        <v>900</v>
      </c>
      <c r="N71" s="16">
        <v>1500</v>
      </c>
      <c r="O71" s="101">
        <f t="shared" si="3"/>
        <v>0.5625</v>
      </c>
      <c r="P71" s="22" t="s">
        <v>243</v>
      </c>
    </row>
    <row r="72" spans="1:16" ht="15.75">
      <c r="A72" s="40"/>
      <c r="B72" s="52"/>
      <c r="C72" s="43"/>
      <c r="D72" s="43"/>
      <c r="E72" s="43" t="s">
        <v>40</v>
      </c>
      <c r="F72" s="43"/>
      <c r="G72" s="6"/>
      <c r="H72" s="43"/>
      <c r="I72" s="6"/>
      <c r="J72" s="16">
        <v>7600</v>
      </c>
      <c r="L72" s="154">
        <v>7600</v>
      </c>
      <c r="N72" s="16">
        <v>7600</v>
      </c>
      <c r="O72" s="101">
        <f t="shared" si="3"/>
        <v>0</v>
      </c>
      <c r="P72" s="22" t="s">
        <v>244</v>
      </c>
    </row>
    <row r="73" spans="1:16" ht="15.75">
      <c r="A73" s="40"/>
      <c r="B73" s="52"/>
      <c r="C73" s="43"/>
      <c r="D73" s="43"/>
      <c r="E73" s="43" t="s">
        <v>157</v>
      </c>
      <c r="F73" s="43"/>
      <c r="G73" s="6"/>
      <c r="H73" s="43"/>
      <c r="I73" s="6"/>
      <c r="J73" s="16">
        <v>180</v>
      </c>
      <c r="L73" s="154">
        <v>100</v>
      </c>
      <c r="N73" s="16">
        <v>100</v>
      </c>
      <c r="O73" s="101">
        <f t="shared" si="3"/>
        <v>-0.4444444444444444</v>
      </c>
      <c r="P73" s="22" t="s">
        <v>206</v>
      </c>
    </row>
    <row r="74" spans="1:16" s="24" customFormat="1" ht="30.75">
      <c r="A74" s="53"/>
      <c r="B74" s="41"/>
      <c r="C74" s="54"/>
      <c r="D74" s="54"/>
      <c r="E74" s="54" t="s">
        <v>41</v>
      </c>
      <c r="F74" s="54"/>
      <c r="G74" s="23"/>
      <c r="H74" s="54"/>
      <c r="I74" s="23"/>
      <c r="J74" s="34">
        <v>6000</v>
      </c>
      <c r="K74"/>
      <c r="L74" s="154">
        <v>13000</v>
      </c>
      <c r="M74"/>
      <c r="N74" s="34">
        <v>10000</v>
      </c>
      <c r="O74" s="101">
        <f t="shared" si="3"/>
        <v>0.6666666666666666</v>
      </c>
      <c r="P74" s="23" t="s">
        <v>207</v>
      </c>
    </row>
    <row r="75" spans="1:16" ht="34.5" customHeight="1">
      <c r="A75" s="40"/>
      <c r="B75" s="41"/>
      <c r="C75" s="43"/>
      <c r="D75" s="43"/>
      <c r="E75" s="43" t="s">
        <v>42</v>
      </c>
      <c r="F75" s="43"/>
      <c r="G75" s="6"/>
      <c r="H75" s="43"/>
      <c r="I75" s="6"/>
      <c r="J75" s="16">
        <v>1000</v>
      </c>
      <c r="L75" s="154">
        <v>1200</v>
      </c>
      <c r="N75" s="16">
        <v>1000</v>
      </c>
      <c r="O75" s="101">
        <f t="shared" si="3"/>
        <v>0</v>
      </c>
      <c r="P75" s="22" t="s">
        <v>208</v>
      </c>
    </row>
    <row r="76" spans="1:16" ht="47.25" customHeight="1">
      <c r="A76" s="40"/>
      <c r="B76" s="41"/>
      <c r="C76" s="43"/>
      <c r="D76" s="43"/>
      <c r="E76" s="43" t="s">
        <v>43</v>
      </c>
      <c r="F76" s="43"/>
      <c r="G76" s="6"/>
      <c r="H76" s="43"/>
      <c r="I76" s="6"/>
      <c r="J76" s="16">
        <v>10000</v>
      </c>
      <c r="L76" s="154"/>
      <c r="N76" s="16">
        <v>20000</v>
      </c>
      <c r="O76" s="101">
        <f t="shared" si="3"/>
        <v>1</v>
      </c>
      <c r="P76" s="105" t="s">
        <v>256</v>
      </c>
    </row>
    <row r="77" spans="1:16" ht="46.5" customHeight="1">
      <c r="A77" s="40"/>
      <c r="B77" s="41"/>
      <c r="C77" s="43"/>
      <c r="D77" s="43"/>
      <c r="E77" s="43" t="s">
        <v>117</v>
      </c>
      <c r="F77" s="43"/>
      <c r="G77" s="6"/>
      <c r="H77" s="43"/>
      <c r="I77" s="6"/>
      <c r="J77" s="16">
        <v>2560</v>
      </c>
      <c r="L77" s="154">
        <v>3220</v>
      </c>
      <c r="N77" s="16">
        <v>3000</v>
      </c>
      <c r="O77" s="101">
        <f t="shared" si="3"/>
        <v>0.171875</v>
      </c>
      <c r="P77" s="141" t="s">
        <v>191</v>
      </c>
    </row>
    <row r="78" spans="1:16" ht="15.75">
      <c r="A78" s="40"/>
      <c r="B78" s="41"/>
      <c r="C78" s="43"/>
      <c r="D78" s="43"/>
      <c r="E78" s="43" t="s">
        <v>44</v>
      </c>
      <c r="F78" s="43"/>
      <c r="G78" s="6"/>
      <c r="H78" s="43"/>
      <c r="I78" s="6"/>
      <c r="J78" s="16">
        <v>600</v>
      </c>
      <c r="L78" s="154">
        <v>500</v>
      </c>
      <c r="N78" s="16">
        <v>600</v>
      </c>
      <c r="O78" s="101">
        <f t="shared" si="3"/>
        <v>0</v>
      </c>
      <c r="P78" s="22" t="s">
        <v>209</v>
      </c>
    </row>
    <row r="79" spans="1:16" ht="16.5" thickBot="1">
      <c r="A79" s="40"/>
      <c r="B79" s="41"/>
      <c r="C79" s="43"/>
      <c r="D79" s="43"/>
      <c r="E79" s="43" t="s">
        <v>133</v>
      </c>
      <c r="F79" s="43"/>
      <c r="G79" s="6"/>
      <c r="H79" s="43"/>
      <c r="I79" s="6"/>
      <c r="J79" s="19">
        <v>1300</v>
      </c>
      <c r="L79" s="155">
        <v>100</v>
      </c>
      <c r="N79" s="19">
        <v>100</v>
      </c>
      <c r="O79" s="101">
        <f t="shared" si="3"/>
        <v>-0.9230769230769231</v>
      </c>
      <c r="P79" s="22" t="s">
        <v>210</v>
      </c>
    </row>
    <row r="80" spans="1:16" ht="15.75">
      <c r="A80" s="40"/>
      <c r="B80" s="41"/>
      <c r="C80" s="43"/>
      <c r="D80" s="43" t="s">
        <v>45</v>
      </c>
      <c r="E80" s="43"/>
      <c r="F80" s="43"/>
      <c r="G80" s="6"/>
      <c r="H80" s="43"/>
      <c r="I80" s="6"/>
      <c r="J80" s="83">
        <f>SUM(J69:J79)</f>
        <v>34720</v>
      </c>
      <c r="L80" s="165">
        <f>SUM(L69:L79)</f>
        <v>28620</v>
      </c>
      <c r="N80" s="83">
        <f>SUM(N69:N79)</f>
        <v>47900</v>
      </c>
      <c r="O80" s="175">
        <f>(N80-J80)/J80</f>
        <v>0.37960829493087556</v>
      </c>
      <c r="P80" s="22"/>
    </row>
    <row r="81" spans="1:16" ht="25.5" customHeight="1">
      <c r="A81" s="40"/>
      <c r="B81" s="41"/>
      <c r="C81" s="43"/>
      <c r="D81" s="43" t="s">
        <v>46</v>
      </c>
      <c r="E81" s="43"/>
      <c r="F81" s="43"/>
      <c r="G81" s="6"/>
      <c r="H81" s="43"/>
      <c r="I81" s="6"/>
      <c r="J81" s="16"/>
      <c r="L81" s="154"/>
      <c r="P81" s="22"/>
    </row>
    <row r="82" spans="1:16" ht="15.75">
      <c r="A82" s="40"/>
      <c r="B82" s="41"/>
      <c r="C82" s="43"/>
      <c r="D82" s="43"/>
      <c r="E82" s="43" t="s">
        <v>47</v>
      </c>
      <c r="F82" s="43"/>
      <c r="G82" s="6"/>
      <c r="H82" s="43"/>
      <c r="I82" s="6"/>
      <c r="J82" s="16">
        <v>500</v>
      </c>
      <c r="L82" s="154">
        <v>500</v>
      </c>
      <c r="N82" s="16">
        <v>500</v>
      </c>
      <c r="O82" s="101">
        <f aca="true" t="shared" si="4" ref="O82:O87">(N82-J82)/J82</f>
        <v>0</v>
      </c>
      <c r="P82" s="22" t="s">
        <v>230</v>
      </c>
    </row>
    <row r="83" spans="1:16" ht="15.75">
      <c r="A83" s="40"/>
      <c r="B83" s="41"/>
      <c r="C83" s="43"/>
      <c r="D83" s="43"/>
      <c r="E83" s="43" t="s">
        <v>48</v>
      </c>
      <c r="F83" s="43"/>
      <c r="G83" s="6"/>
      <c r="H83" s="43"/>
      <c r="I83" s="6"/>
      <c r="J83" s="16">
        <v>10000</v>
      </c>
      <c r="L83" s="154">
        <v>10000</v>
      </c>
      <c r="N83" s="16">
        <v>10000</v>
      </c>
      <c r="O83" s="101">
        <f t="shared" si="4"/>
        <v>0</v>
      </c>
      <c r="P83" s="87"/>
    </row>
    <row r="84" spans="1:16" ht="15.75">
      <c r="A84" s="40"/>
      <c r="B84" s="41"/>
      <c r="C84" s="43"/>
      <c r="D84" s="43"/>
      <c r="E84" s="43" t="s">
        <v>87</v>
      </c>
      <c r="F84" s="43"/>
      <c r="G84" s="6"/>
      <c r="H84" s="43"/>
      <c r="I84" s="6"/>
      <c r="J84" s="16">
        <v>4000</v>
      </c>
      <c r="L84" s="154">
        <v>4000</v>
      </c>
      <c r="N84" s="16">
        <v>4000</v>
      </c>
      <c r="O84" s="101">
        <f t="shared" si="4"/>
        <v>0</v>
      </c>
      <c r="P84" s="22" t="s">
        <v>145</v>
      </c>
    </row>
    <row r="85" spans="1:16" ht="15.75">
      <c r="A85" s="40"/>
      <c r="B85" s="41"/>
      <c r="C85" s="43"/>
      <c r="D85" s="43"/>
      <c r="E85" s="43" t="s">
        <v>71</v>
      </c>
      <c r="F85" s="43"/>
      <c r="G85" s="6"/>
      <c r="H85" s="43"/>
      <c r="I85" s="6"/>
      <c r="J85" s="33">
        <v>200</v>
      </c>
      <c r="L85" s="154">
        <v>100</v>
      </c>
      <c r="N85" s="33">
        <v>200</v>
      </c>
      <c r="O85" s="101">
        <f t="shared" si="4"/>
        <v>0</v>
      </c>
      <c r="P85" s="22"/>
    </row>
    <row r="86" spans="1:16" ht="18" thickBot="1">
      <c r="A86" s="40"/>
      <c r="B86" s="41"/>
      <c r="C86" s="43"/>
      <c r="D86" s="43"/>
      <c r="E86" s="43" t="s">
        <v>123</v>
      </c>
      <c r="F86" s="43"/>
      <c r="G86" s="6"/>
      <c r="H86" s="43"/>
      <c r="I86" s="6"/>
      <c r="J86" s="77">
        <v>300</v>
      </c>
      <c r="L86" s="166">
        <v>300</v>
      </c>
      <c r="N86" s="77">
        <v>300</v>
      </c>
      <c r="O86" s="101">
        <f t="shared" si="4"/>
        <v>0</v>
      </c>
      <c r="P86" s="22" t="s">
        <v>132</v>
      </c>
    </row>
    <row r="87" spans="1:16" ht="15.75">
      <c r="A87" s="40"/>
      <c r="B87" s="41"/>
      <c r="C87" s="43"/>
      <c r="D87" s="43" t="s">
        <v>49</v>
      </c>
      <c r="E87" s="43"/>
      <c r="F87" s="43"/>
      <c r="G87" s="6"/>
      <c r="H87" s="43"/>
      <c r="I87" s="6"/>
      <c r="J87" s="98">
        <f>SUM(J82:J86)</f>
        <v>15000</v>
      </c>
      <c r="L87" s="164">
        <f>SUM(L82:L86)</f>
        <v>14900</v>
      </c>
      <c r="N87" s="99">
        <f>SUM(N82:N86)</f>
        <v>15000</v>
      </c>
      <c r="O87" s="175">
        <f t="shared" si="4"/>
        <v>0</v>
      </c>
      <c r="P87" s="22"/>
    </row>
    <row r="88" spans="1:16" ht="25.5" customHeight="1">
      <c r="A88" s="40"/>
      <c r="B88" s="41"/>
      <c r="C88" s="43"/>
      <c r="D88" s="43" t="s">
        <v>50</v>
      </c>
      <c r="E88" s="43"/>
      <c r="F88" s="43"/>
      <c r="G88" s="6"/>
      <c r="H88" s="43"/>
      <c r="I88" s="6"/>
      <c r="J88" s="16"/>
      <c r="L88" s="154"/>
      <c r="P88" s="22" t="s">
        <v>84</v>
      </c>
    </row>
    <row r="89" spans="1:16" ht="15.75">
      <c r="A89" s="40"/>
      <c r="B89" s="41"/>
      <c r="C89" s="43"/>
      <c r="D89" s="43"/>
      <c r="E89" s="43" t="s">
        <v>51</v>
      </c>
      <c r="F89" s="43"/>
      <c r="G89" s="6"/>
      <c r="H89" s="43"/>
      <c r="I89" s="6"/>
      <c r="J89" s="16">
        <v>7000</v>
      </c>
      <c r="L89" s="154">
        <v>4750</v>
      </c>
      <c r="N89" s="16">
        <v>5000</v>
      </c>
      <c r="O89" s="101">
        <f aca="true" t="shared" si="5" ref="O89:O95">(N89-J89)/J89</f>
        <v>-0.2857142857142857</v>
      </c>
      <c r="P89" s="22"/>
    </row>
    <row r="90" spans="1:16" ht="15.75">
      <c r="A90" s="40"/>
      <c r="B90" s="41"/>
      <c r="C90" s="43"/>
      <c r="D90" s="43"/>
      <c r="E90" s="43" t="s">
        <v>52</v>
      </c>
      <c r="F90" s="43"/>
      <c r="G90" s="6"/>
      <c r="H90" s="43"/>
      <c r="I90" s="6"/>
      <c r="J90" s="16">
        <v>400</v>
      </c>
      <c r="L90" s="154">
        <v>332</v>
      </c>
      <c r="N90" s="16">
        <v>350</v>
      </c>
      <c r="O90" s="101">
        <f t="shared" si="5"/>
        <v>-0.125</v>
      </c>
      <c r="P90" s="22"/>
    </row>
    <row r="91" spans="1:16" ht="15.75">
      <c r="A91" s="40"/>
      <c r="B91" s="41"/>
      <c r="C91" s="43"/>
      <c r="D91" s="43"/>
      <c r="E91" s="43" t="s">
        <v>53</v>
      </c>
      <c r="F91" s="43"/>
      <c r="G91" s="6"/>
      <c r="H91" s="43"/>
      <c r="I91" s="6"/>
      <c r="J91" s="16">
        <v>5000</v>
      </c>
      <c r="L91" s="154">
        <v>4000</v>
      </c>
      <c r="N91" s="16">
        <v>4500</v>
      </c>
      <c r="O91" s="101">
        <f t="shared" si="5"/>
        <v>-0.1</v>
      </c>
      <c r="P91" s="22"/>
    </row>
    <row r="92" spans="1:16" ht="15.75">
      <c r="A92" s="40"/>
      <c r="B92" s="41"/>
      <c r="C92" s="43"/>
      <c r="D92" s="43"/>
      <c r="E92" s="43" t="s">
        <v>85</v>
      </c>
      <c r="F92" s="43"/>
      <c r="G92" s="6"/>
      <c r="H92" s="43"/>
      <c r="I92" s="6"/>
      <c r="J92" s="16">
        <v>1000</v>
      </c>
      <c r="L92" s="154">
        <v>200</v>
      </c>
      <c r="N92" s="16">
        <v>1000</v>
      </c>
      <c r="O92" s="101">
        <f t="shared" si="5"/>
        <v>0</v>
      </c>
      <c r="P92" s="22"/>
    </row>
    <row r="93" spans="1:16" ht="15.75">
      <c r="A93" s="40"/>
      <c r="B93" s="41"/>
      <c r="C93" s="43"/>
      <c r="D93" s="43"/>
      <c r="E93" s="43" t="s">
        <v>54</v>
      </c>
      <c r="F93" s="43"/>
      <c r="G93" s="6"/>
      <c r="H93" s="43"/>
      <c r="I93" s="6"/>
      <c r="J93" s="16">
        <v>1000</v>
      </c>
      <c r="L93" s="154">
        <v>1000</v>
      </c>
      <c r="N93" s="16">
        <v>1000</v>
      </c>
      <c r="O93" s="101">
        <f t="shared" si="5"/>
        <v>0</v>
      </c>
      <c r="P93" s="22"/>
    </row>
    <row r="94" spans="1:16" ht="15.75">
      <c r="A94" s="40"/>
      <c r="B94" s="41"/>
      <c r="C94" s="43"/>
      <c r="D94" s="43"/>
      <c r="E94" s="43" t="s">
        <v>197</v>
      </c>
      <c r="F94" s="43"/>
      <c r="G94" s="6"/>
      <c r="H94" s="43"/>
      <c r="I94" s="6"/>
      <c r="J94" s="16">
        <v>500</v>
      </c>
      <c r="L94" s="154">
        <v>420</v>
      </c>
      <c r="N94" s="16">
        <v>500</v>
      </c>
      <c r="O94" s="101">
        <f t="shared" si="5"/>
        <v>0</v>
      </c>
      <c r="P94" s="22"/>
    </row>
    <row r="95" spans="1:16" ht="16.5" thickBot="1">
      <c r="A95" s="40"/>
      <c r="B95" s="41"/>
      <c r="C95" s="43"/>
      <c r="D95" s="43"/>
      <c r="E95" s="43" t="s">
        <v>55</v>
      </c>
      <c r="F95" s="43"/>
      <c r="G95" s="6"/>
      <c r="H95" s="43"/>
      <c r="I95" s="6"/>
      <c r="J95" s="19">
        <v>200</v>
      </c>
      <c r="L95" s="155">
        <v>4231.85</v>
      </c>
      <c r="N95" s="19">
        <v>200</v>
      </c>
      <c r="O95" s="101">
        <f t="shared" si="5"/>
        <v>0</v>
      </c>
      <c r="P95" s="22"/>
    </row>
    <row r="96" spans="1:16" ht="15.75">
      <c r="A96" s="40"/>
      <c r="B96" s="41"/>
      <c r="C96" s="43"/>
      <c r="D96" s="43" t="s">
        <v>56</v>
      </c>
      <c r="E96" s="43"/>
      <c r="F96" s="43"/>
      <c r="G96" s="6"/>
      <c r="H96" s="43"/>
      <c r="I96" s="6"/>
      <c r="J96" s="21">
        <f>SUM(J89:J95)</f>
        <v>15100</v>
      </c>
      <c r="L96" s="162">
        <f>SUM(L89:L95)</f>
        <v>14933.85</v>
      </c>
      <c r="N96" s="83">
        <f>SUM(N89:N95)</f>
        <v>12550</v>
      </c>
      <c r="O96" s="175">
        <f>(N96-J96)/J96</f>
        <v>-0.16887417218543047</v>
      </c>
      <c r="P96" s="22"/>
    </row>
    <row r="97" spans="1:16" ht="25.5" customHeight="1">
      <c r="A97" s="40"/>
      <c r="B97" s="41"/>
      <c r="C97" s="43"/>
      <c r="D97" s="43" t="s">
        <v>57</v>
      </c>
      <c r="E97" s="43"/>
      <c r="F97" s="43"/>
      <c r="G97" s="6"/>
      <c r="H97" s="43"/>
      <c r="I97" s="6"/>
      <c r="J97" s="16"/>
      <c r="L97" s="154"/>
      <c r="P97" s="22"/>
    </row>
    <row r="98" spans="1:16" ht="30.75" customHeight="1">
      <c r="A98" s="40"/>
      <c r="B98" s="41"/>
      <c r="C98" s="43"/>
      <c r="D98" s="43"/>
      <c r="E98" s="43" t="s">
        <v>226</v>
      </c>
      <c r="F98" s="43"/>
      <c r="G98" s="6"/>
      <c r="H98" s="43"/>
      <c r="I98" s="6"/>
      <c r="J98" s="33">
        <v>20572</v>
      </c>
      <c r="L98" s="163">
        <v>19028</v>
      </c>
      <c r="N98" s="16">
        <v>19600</v>
      </c>
      <c r="O98" s="101">
        <f>(N98-J98)/J98</f>
        <v>-0.04724868753645732</v>
      </c>
      <c r="P98" s="173" t="s">
        <v>245</v>
      </c>
    </row>
    <row r="99" spans="1:16" ht="15.75">
      <c r="A99" s="40"/>
      <c r="B99" s="41"/>
      <c r="C99" s="43"/>
      <c r="D99" s="43"/>
      <c r="E99" s="43" t="s">
        <v>58</v>
      </c>
      <c r="F99" s="43"/>
      <c r="G99" s="6"/>
      <c r="H99" s="43"/>
      <c r="I99" s="6"/>
      <c r="J99" s="16">
        <f>(250*6)+(275*6)+3400</f>
        <v>6550</v>
      </c>
      <c r="L99" s="154">
        <v>4000</v>
      </c>
      <c r="N99" s="16">
        <f>3000+250+2500</f>
        <v>5750</v>
      </c>
      <c r="O99" s="101">
        <f>(N99-J99)/J99</f>
        <v>-0.12213740458015267</v>
      </c>
      <c r="P99" s="22" t="s">
        <v>211</v>
      </c>
    </row>
    <row r="100" spans="1:16" ht="18" customHeight="1">
      <c r="A100" s="40"/>
      <c r="B100" s="41"/>
      <c r="C100" s="43"/>
      <c r="D100" s="43"/>
      <c r="E100" s="43" t="s">
        <v>72</v>
      </c>
      <c r="F100" s="43"/>
      <c r="G100" s="6"/>
      <c r="H100" s="43"/>
      <c r="I100" s="6"/>
      <c r="J100" s="16" t="s">
        <v>84</v>
      </c>
      <c r="L100" s="154">
        <v>40.26</v>
      </c>
      <c r="O100" s="101"/>
      <c r="P100" s="22"/>
    </row>
    <row r="101" spans="1:16" ht="16.5" thickBot="1">
      <c r="A101" s="40"/>
      <c r="B101" s="41"/>
      <c r="C101" s="43"/>
      <c r="D101" s="43"/>
      <c r="E101" s="43" t="s">
        <v>59</v>
      </c>
      <c r="F101" s="43"/>
      <c r="G101" s="6"/>
      <c r="H101" s="43"/>
      <c r="I101" s="6"/>
      <c r="J101" s="16">
        <v>9500</v>
      </c>
      <c r="L101" s="154">
        <v>9000</v>
      </c>
      <c r="N101" s="126">
        <v>8810</v>
      </c>
      <c r="O101" s="101">
        <f>(N101-J101)/J101</f>
        <v>-0.07263157894736842</v>
      </c>
      <c r="P101" s="22" t="s">
        <v>212</v>
      </c>
    </row>
    <row r="102" spans="1:16" ht="15.75">
      <c r="A102" s="40"/>
      <c r="B102" s="41"/>
      <c r="C102" s="43"/>
      <c r="D102" s="43" t="s">
        <v>60</v>
      </c>
      <c r="E102" s="43"/>
      <c r="F102" s="43"/>
      <c r="G102" s="6"/>
      <c r="H102" s="43"/>
      <c r="I102" s="6"/>
      <c r="J102" s="98">
        <f>SUM(J98:J101)</f>
        <v>36622</v>
      </c>
      <c r="L102" s="164">
        <f>SUM(L98:L101)</f>
        <v>32068.26</v>
      </c>
      <c r="N102" s="98">
        <f>SUM(N98:N101)</f>
        <v>34160</v>
      </c>
      <c r="O102" s="175">
        <f>(N102-J102)/J102</f>
        <v>-0.06722734968051991</v>
      </c>
      <c r="P102" s="22"/>
    </row>
    <row r="103" spans="1:16" ht="25.5" customHeight="1">
      <c r="A103" s="40"/>
      <c r="B103" s="41"/>
      <c r="C103" s="43"/>
      <c r="D103" s="43" t="s">
        <v>61</v>
      </c>
      <c r="E103" s="43"/>
      <c r="F103" s="43"/>
      <c r="G103" s="6"/>
      <c r="H103" s="43"/>
      <c r="I103" s="6"/>
      <c r="J103" s="16"/>
      <c r="L103" s="154" t="s">
        <v>84</v>
      </c>
      <c r="P103" s="22"/>
    </row>
    <row r="104" spans="1:16" ht="15.75">
      <c r="A104" s="40"/>
      <c r="B104" s="41"/>
      <c r="C104" s="43"/>
      <c r="D104" s="43"/>
      <c r="E104" s="43" t="s">
        <v>62</v>
      </c>
      <c r="F104" s="43"/>
      <c r="G104" s="6"/>
      <c r="H104" s="43"/>
      <c r="I104" s="6"/>
      <c r="J104" s="16">
        <v>1000</v>
      </c>
      <c r="L104" s="154">
        <v>1000</v>
      </c>
      <c r="N104" s="16">
        <v>1000</v>
      </c>
      <c r="O104" s="101">
        <f>(N104-J104)/J104</f>
        <v>0</v>
      </c>
      <c r="P104" s="22"/>
    </row>
    <row r="105" spans="1:16" ht="16.5" thickBot="1">
      <c r="A105" s="40"/>
      <c r="B105" s="41"/>
      <c r="C105" s="43"/>
      <c r="D105" s="43"/>
      <c r="E105" s="43" t="s">
        <v>88</v>
      </c>
      <c r="F105" s="43"/>
      <c r="G105" s="6"/>
      <c r="H105" s="43"/>
      <c r="I105" s="6"/>
      <c r="J105" s="19"/>
      <c r="L105" s="155"/>
      <c r="N105" s="19">
        <v>100</v>
      </c>
      <c r="O105" s="101"/>
      <c r="P105" s="22" t="s">
        <v>213</v>
      </c>
    </row>
    <row r="106" spans="1:16" ht="15.75">
      <c r="A106" s="40"/>
      <c r="B106" s="41"/>
      <c r="C106" s="43"/>
      <c r="D106" s="43" t="s">
        <v>63</v>
      </c>
      <c r="E106" s="43"/>
      <c r="F106" s="43"/>
      <c r="G106" s="6"/>
      <c r="H106" s="43"/>
      <c r="I106" s="6"/>
      <c r="J106" s="21">
        <f>SUM(J104:J105)</f>
        <v>1000</v>
      </c>
      <c r="L106" s="162">
        <f>SUM(L104:L105)</f>
        <v>1000</v>
      </c>
      <c r="N106" s="83">
        <f>SUM(N104:N105)</f>
        <v>1100</v>
      </c>
      <c r="O106" s="175">
        <f>(N106-J106)/J106</f>
        <v>0.1</v>
      </c>
      <c r="P106" s="22"/>
    </row>
    <row r="107" spans="1:16" ht="25.5" customHeight="1">
      <c r="A107" s="40"/>
      <c r="B107" s="41"/>
      <c r="C107" s="43"/>
      <c r="D107" s="43" t="s">
        <v>64</v>
      </c>
      <c r="E107" s="43"/>
      <c r="F107" s="43"/>
      <c r="G107" s="6"/>
      <c r="H107" s="43"/>
      <c r="I107" s="6"/>
      <c r="J107" s="16"/>
      <c r="L107" s="154"/>
      <c r="P107" s="22"/>
    </row>
    <row r="108" spans="1:16" ht="30.75">
      <c r="A108" s="40"/>
      <c r="B108" s="41"/>
      <c r="C108" s="43"/>
      <c r="D108" s="43"/>
      <c r="E108" s="43" t="s">
        <v>65</v>
      </c>
      <c r="F108" s="43"/>
      <c r="G108" s="6"/>
      <c r="H108" s="43"/>
      <c r="I108" s="6"/>
      <c r="J108" s="16">
        <v>8265</v>
      </c>
      <c r="L108" s="154">
        <v>6000</v>
      </c>
      <c r="N108" s="16">
        <v>8280</v>
      </c>
      <c r="O108" s="101">
        <f aca="true" t="shared" si="6" ref="O108:O114">(N108-J108)/J108</f>
        <v>0.0018148820326678765</v>
      </c>
      <c r="P108" s="22" t="s">
        <v>229</v>
      </c>
    </row>
    <row r="109" spans="1:16" ht="15.75">
      <c r="A109" s="40"/>
      <c r="B109" s="41"/>
      <c r="C109" s="43"/>
      <c r="D109" s="43"/>
      <c r="E109" s="43" t="s">
        <v>66</v>
      </c>
      <c r="F109" s="43"/>
      <c r="G109" s="6"/>
      <c r="H109" s="43"/>
      <c r="I109" s="6"/>
      <c r="J109" s="16">
        <v>500</v>
      </c>
      <c r="L109" s="154">
        <v>633</v>
      </c>
      <c r="N109" s="16">
        <v>500</v>
      </c>
      <c r="O109" s="101">
        <f t="shared" si="6"/>
        <v>0</v>
      </c>
      <c r="P109" s="22"/>
    </row>
    <row r="110" spans="1:16" ht="15.75">
      <c r="A110" s="40"/>
      <c r="B110" s="41"/>
      <c r="C110" s="43"/>
      <c r="D110" s="43"/>
      <c r="E110" s="43" t="s">
        <v>67</v>
      </c>
      <c r="F110" s="43"/>
      <c r="G110" s="6"/>
      <c r="H110" s="43"/>
      <c r="I110" s="6"/>
      <c r="J110" s="33">
        <v>1500</v>
      </c>
      <c r="L110" s="163">
        <v>500</v>
      </c>
      <c r="N110" s="33">
        <v>1500</v>
      </c>
      <c r="O110" s="101">
        <f t="shared" si="6"/>
        <v>0</v>
      </c>
      <c r="P110" s="22" t="s">
        <v>183</v>
      </c>
    </row>
    <row r="111" spans="1:16" ht="16.5" thickBot="1">
      <c r="A111" s="40"/>
      <c r="B111" s="41"/>
      <c r="C111" s="43"/>
      <c r="D111" s="43"/>
      <c r="E111" s="43" t="s">
        <v>128</v>
      </c>
      <c r="F111" s="43"/>
      <c r="G111" s="6"/>
      <c r="H111" s="43"/>
      <c r="I111" s="6"/>
      <c r="J111" s="19">
        <f>190*2</f>
        <v>380</v>
      </c>
      <c r="L111" s="155">
        <v>300</v>
      </c>
      <c r="N111" s="19">
        <v>380</v>
      </c>
      <c r="O111" s="101">
        <f t="shared" si="6"/>
        <v>0</v>
      </c>
      <c r="P111" s="22" t="s">
        <v>147</v>
      </c>
    </row>
    <row r="112" spans="1:16" ht="15.75">
      <c r="A112" s="40"/>
      <c r="B112" s="41"/>
      <c r="C112" s="43"/>
      <c r="D112" s="43" t="s">
        <v>68</v>
      </c>
      <c r="E112" s="43"/>
      <c r="F112" s="43"/>
      <c r="G112" s="6"/>
      <c r="H112" s="43"/>
      <c r="I112" s="6"/>
      <c r="J112" s="21">
        <f>SUM(J108:J111)</f>
        <v>10645</v>
      </c>
      <c r="L112" s="162">
        <f>SUM(L108:L111)</f>
        <v>7433</v>
      </c>
      <c r="N112" s="83">
        <f>SUM(N108:N111)</f>
        <v>10660</v>
      </c>
      <c r="O112" s="175">
        <f t="shared" si="6"/>
        <v>0.0014091122592766556</v>
      </c>
      <c r="P112" s="22"/>
    </row>
    <row r="113" spans="1:16" ht="15.75">
      <c r="A113" s="40"/>
      <c r="B113" s="41"/>
      <c r="C113" s="43"/>
      <c r="D113" s="43"/>
      <c r="E113" s="43"/>
      <c r="F113" s="43"/>
      <c r="G113" s="6"/>
      <c r="H113" s="43"/>
      <c r="I113" s="6"/>
      <c r="J113" s="21"/>
      <c r="L113" s="162"/>
      <c r="N113" s="83"/>
      <c r="O113" s="101"/>
      <c r="P113" s="22"/>
    </row>
    <row r="114" spans="1:16" ht="15.75">
      <c r="A114" s="40"/>
      <c r="B114" s="41"/>
      <c r="C114" s="43"/>
      <c r="D114" s="43" t="s">
        <v>126</v>
      </c>
      <c r="E114" s="43"/>
      <c r="F114" s="43"/>
      <c r="G114" s="6"/>
      <c r="H114" s="43"/>
      <c r="I114" s="6"/>
      <c r="J114" s="21">
        <v>4754</v>
      </c>
      <c r="L114" s="167">
        <v>4754</v>
      </c>
      <c r="N114" s="130">
        <v>3975</v>
      </c>
      <c r="O114" s="101">
        <f t="shared" si="6"/>
        <v>-0.16386201093815733</v>
      </c>
      <c r="P114" s="117" t="s">
        <v>214</v>
      </c>
    </row>
    <row r="115" spans="1:16" ht="25.5" customHeight="1">
      <c r="A115" s="40"/>
      <c r="B115" s="41"/>
      <c r="C115" s="43"/>
      <c r="D115" s="43" t="s">
        <v>158</v>
      </c>
      <c r="E115" s="43"/>
      <c r="F115" s="43"/>
      <c r="G115" s="6"/>
      <c r="H115" s="43"/>
      <c r="I115" s="6"/>
      <c r="J115" s="16"/>
      <c r="L115" s="154"/>
      <c r="P115" s="22"/>
    </row>
    <row r="116" spans="1:19" ht="15.75" customHeight="1">
      <c r="A116" s="40"/>
      <c r="B116" s="41"/>
      <c r="C116" s="43"/>
      <c r="D116" s="43"/>
      <c r="E116" s="43" t="s">
        <v>227</v>
      </c>
      <c r="F116" s="6"/>
      <c r="G116" s="16"/>
      <c r="H116" s="6"/>
      <c r="I116" s="16"/>
      <c r="J116" s="15"/>
      <c r="L116" s="154"/>
      <c r="N116" s="86"/>
      <c r="O116" s="102"/>
      <c r="P116" s="22"/>
      <c r="R116" s="114"/>
      <c r="S116" s="65"/>
    </row>
    <row r="117" spans="1:16" ht="15.75">
      <c r="A117" s="40"/>
      <c r="B117" s="41"/>
      <c r="C117" s="43"/>
      <c r="D117" s="43"/>
      <c r="E117" s="43" t="s">
        <v>124</v>
      </c>
      <c r="F117" s="43"/>
      <c r="G117" s="6"/>
      <c r="H117" s="43"/>
      <c r="I117" s="6"/>
      <c r="J117" s="16" t="s">
        <v>84</v>
      </c>
      <c r="L117" s="154"/>
      <c r="O117" s="101"/>
      <c r="P117" s="22"/>
    </row>
    <row r="118" spans="1:16" ht="15.75">
      <c r="A118" s="40"/>
      <c r="B118" s="41"/>
      <c r="C118" s="43"/>
      <c r="D118" s="43"/>
      <c r="E118" s="43" t="s">
        <v>136</v>
      </c>
      <c r="F118" s="43"/>
      <c r="G118" s="6"/>
      <c r="H118" s="43"/>
      <c r="I118" s="6"/>
      <c r="J118" s="16">
        <v>1250</v>
      </c>
      <c r="L118" s="154">
        <v>500</v>
      </c>
      <c r="N118" s="16">
        <v>800</v>
      </c>
      <c r="O118" s="101">
        <f>(N118-J118)/J118</f>
        <v>-0.36</v>
      </c>
      <c r="P118" s="22"/>
    </row>
    <row r="119" spans="1:16" ht="15.75">
      <c r="A119" s="40"/>
      <c r="B119" s="41"/>
      <c r="C119" s="43"/>
      <c r="D119" s="43"/>
      <c r="E119" s="43" t="s">
        <v>127</v>
      </c>
      <c r="F119" s="43"/>
      <c r="G119" s="6"/>
      <c r="H119" s="43"/>
      <c r="I119" s="6"/>
      <c r="J119" s="33">
        <v>13635</v>
      </c>
      <c r="L119" s="163">
        <v>13600</v>
      </c>
      <c r="N119" s="33"/>
      <c r="O119" s="101">
        <f>(N119-J119)/J119</f>
        <v>-1</v>
      </c>
      <c r="P119" s="22" t="s">
        <v>146</v>
      </c>
    </row>
    <row r="120" spans="1:16" ht="16.5" thickBot="1">
      <c r="A120" s="40"/>
      <c r="B120" s="41"/>
      <c r="C120" s="43"/>
      <c r="D120" s="43"/>
      <c r="E120" s="43" t="s">
        <v>131</v>
      </c>
      <c r="F120" s="43"/>
      <c r="G120" s="6"/>
      <c r="H120" s="43"/>
      <c r="I120" s="6"/>
      <c r="J120" s="33">
        <v>2500</v>
      </c>
      <c r="L120" s="163">
        <v>1500</v>
      </c>
      <c r="N120" s="33">
        <v>1500</v>
      </c>
      <c r="O120" s="101">
        <f>(N120-J120)/J120</f>
        <v>-0.4</v>
      </c>
      <c r="P120" s="22"/>
    </row>
    <row r="121" spans="1:16" ht="15.75">
      <c r="A121" s="40"/>
      <c r="B121" s="41"/>
      <c r="C121" s="43"/>
      <c r="D121" s="43" t="s">
        <v>125</v>
      </c>
      <c r="E121" s="43"/>
      <c r="F121" s="43"/>
      <c r="G121" s="6"/>
      <c r="H121" s="43"/>
      <c r="I121" s="6"/>
      <c r="J121" s="99">
        <f>SUM(J116:J120)</f>
        <v>17385</v>
      </c>
      <c r="L121" s="168">
        <f>SUM(L116:L120)</f>
        <v>15600</v>
      </c>
      <c r="N121" s="99">
        <f>SUM(N116:N120)</f>
        <v>2300</v>
      </c>
      <c r="O121" s="175">
        <f>(N121-J121)/J121</f>
        <v>-0.8677020419902215</v>
      </c>
      <c r="P121" s="22"/>
    </row>
    <row r="122" ht="15">
      <c r="L122" s="154"/>
    </row>
    <row r="123" ht="15">
      <c r="L123" s="154"/>
    </row>
    <row r="124" spans="1:16" ht="16.5" thickBot="1">
      <c r="A124" s="40"/>
      <c r="B124" s="47" t="s">
        <v>84</v>
      </c>
      <c r="C124" s="43" t="s">
        <v>69</v>
      </c>
      <c r="D124" s="43"/>
      <c r="E124" s="43"/>
      <c r="F124" s="43"/>
      <c r="G124" s="6"/>
      <c r="H124" s="43"/>
      <c r="I124" s="6"/>
      <c r="J124" s="84">
        <f>SUM(J35+J39+J47+J50+J64+J67+J80+J87+J56+J96+J102+J106+J112+J114+J121)</f>
        <v>237942.85</v>
      </c>
      <c r="L124" s="169">
        <f>SUM(L35+L39+L47+L50+L64+L67+L80+L87+L56+L96+L102+L106+L112+L114+L121)</f>
        <v>212200.6</v>
      </c>
      <c r="N124" s="84">
        <f>SUM(N35+N39+N47+N50+N64+N67+N80+N87+N56+N96+N102+N106+N112+N114+N121)</f>
        <v>237637.65</v>
      </c>
      <c r="O124" s="101">
        <f>(N124-J124)/J124</f>
        <v>-0.0012826609414824258</v>
      </c>
      <c r="P124" s="22"/>
    </row>
    <row r="125" spans="1:16" ht="25.5" customHeight="1" thickBot="1">
      <c r="A125" s="46"/>
      <c r="B125" s="47" t="s">
        <v>70</v>
      </c>
      <c r="C125" s="47"/>
      <c r="D125" s="47"/>
      <c r="E125" s="47"/>
      <c r="F125" s="43"/>
      <c r="G125" s="6"/>
      <c r="H125" s="43"/>
      <c r="I125" s="6"/>
      <c r="J125" s="85">
        <f>(J23-J124)</f>
        <v>75503.15</v>
      </c>
      <c r="L125" s="170">
        <f>(L23-L124)</f>
        <v>103484.36999999997</v>
      </c>
      <c r="N125" s="85">
        <f>(N23-N124)</f>
        <v>94374.35</v>
      </c>
      <c r="O125" s="175">
        <f>(N125-J125)/J125</f>
        <v>0.24993924094557662</v>
      </c>
      <c r="P125" s="22" t="s">
        <v>84</v>
      </c>
    </row>
    <row r="126" spans="1:16" s="9" customFormat="1" ht="30" customHeight="1" thickTop="1">
      <c r="A126" s="44" t="s">
        <v>84</v>
      </c>
      <c r="B126" s="182" t="s">
        <v>115</v>
      </c>
      <c r="C126" s="182"/>
      <c r="D126" s="182"/>
      <c r="E126" s="182"/>
      <c r="F126" s="41"/>
      <c r="G126" s="8"/>
      <c r="H126" s="41"/>
      <c r="I126" s="8"/>
      <c r="J126" s="16"/>
      <c r="K126"/>
      <c r="L126" s="154"/>
      <c r="M126"/>
      <c r="N126" s="132"/>
      <c r="O126" s="124"/>
      <c r="P126" s="107"/>
    </row>
    <row r="127" spans="1:18" ht="30.75">
      <c r="A127" s="40"/>
      <c r="B127" s="55"/>
      <c r="C127" s="43"/>
      <c r="D127" s="43" t="s">
        <v>159</v>
      </c>
      <c r="E127" s="43"/>
      <c r="F127" s="43"/>
      <c r="G127" s="6"/>
      <c r="H127" s="43"/>
      <c r="I127" s="6"/>
      <c r="J127" s="15">
        <v>38110</v>
      </c>
      <c r="K127" s="38"/>
      <c r="L127" s="159">
        <f>38110</f>
        <v>38110</v>
      </c>
      <c r="M127" s="38"/>
      <c r="N127" s="142">
        <v>60000</v>
      </c>
      <c r="O127" s="101">
        <f>(N127-J127)/J127</f>
        <v>0.5743899239044871</v>
      </c>
      <c r="P127" s="22" t="s">
        <v>261</v>
      </c>
      <c r="R127" s="21" t="s">
        <v>84</v>
      </c>
    </row>
    <row r="128" spans="1:16" ht="15.75" customHeight="1">
      <c r="A128" s="40"/>
      <c r="B128" s="41"/>
      <c r="C128" s="43" t="s">
        <v>84</v>
      </c>
      <c r="D128" s="43" t="s">
        <v>114</v>
      </c>
      <c r="E128" s="51"/>
      <c r="F128" s="43"/>
      <c r="G128" s="6"/>
      <c r="H128" s="43"/>
      <c r="I128" s="6"/>
      <c r="J128" s="15">
        <v>30000</v>
      </c>
      <c r="K128" s="38"/>
      <c r="L128" s="159">
        <v>30000</v>
      </c>
      <c r="M128" s="38"/>
      <c r="N128" s="142">
        <v>0</v>
      </c>
      <c r="O128" s="101"/>
      <c r="P128" s="22" t="s">
        <v>215</v>
      </c>
    </row>
    <row r="129" spans="1:16" ht="31.5" thickBot="1">
      <c r="A129" s="40"/>
      <c r="B129" s="41"/>
      <c r="C129" s="43"/>
      <c r="D129" s="43" t="s">
        <v>137</v>
      </c>
      <c r="E129" s="51"/>
      <c r="F129" s="43"/>
      <c r="G129" s="6"/>
      <c r="H129" s="43"/>
      <c r="I129" s="6"/>
      <c r="J129" s="15">
        <v>10000</v>
      </c>
      <c r="K129" s="38"/>
      <c r="L129" s="159">
        <v>10000</v>
      </c>
      <c r="M129" s="38"/>
      <c r="N129" s="142">
        <v>25000</v>
      </c>
      <c r="O129" s="101"/>
      <c r="P129" s="22" t="s">
        <v>216</v>
      </c>
    </row>
    <row r="130" spans="1:16" ht="15.75">
      <c r="A130" s="40"/>
      <c r="B130" s="41"/>
      <c r="C130" s="43" t="s">
        <v>160</v>
      </c>
      <c r="D130" s="43"/>
      <c r="E130" s="51"/>
      <c r="F130" s="43"/>
      <c r="G130" s="6"/>
      <c r="H130" s="43"/>
      <c r="I130" s="6"/>
      <c r="J130" s="131">
        <f>SUM(J127:J129)</f>
        <v>78110</v>
      </c>
      <c r="K130" s="38"/>
      <c r="L130" s="171">
        <f>SUM(L127:L129)</f>
        <v>78110</v>
      </c>
      <c r="M130" s="38"/>
      <c r="N130" s="131">
        <f>SUM(N127:N129)</f>
        <v>85000</v>
      </c>
      <c r="O130" s="175">
        <f>(N130-J130)/J130</f>
        <v>0.08820893611573422</v>
      </c>
      <c r="P130" s="22"/>
    </row>
    <row r="131" spans="1:16" ht="15.75">
      <c r="A131" s="40"/>
      <c r="B131" s="41"/>
      <c r="C131" s="43"/>
      <c r="D131" s="43"/>
      <c r="E131" s="51"/>
      <c r="F131" s="43"/>
      <c r="G131" s="6"/>
      <c r="H131" s="43"/>
      <c r="I131" s="6"/>
      <c r="J131" s="21"/>
      <c r="K131" s="38"/>
      <c r="L131" s="93"/>
      <c r="M131" s="38"/>
      <c r="N131" s="21"/>
      <c r="O131" s="103"/>
      <c r="P131" s="22"/>
    </row>
    <row r="132" spans="1:16" ht="18" customHeight="1">
      <c r="A132" s="40"/>
      <c r="B132" s="183" t="s">
        <v>116</v>
      </c>
      <c r="C132" s="184"/>
      <c r="D132" s="184"/>
      <c r="E132" s="184"/>
      <c r="F132" s="43"/>
      <c r="G132" s="6"/>
      <c r="H132" s="43"/>
      <c r="I132" s="6"/>
      <c r="J132" s="21">
        <f>J125+28000+2000-J130</f>
        <v>27393.149999999994</v>
      </c>
      <c r="K132" s="38"/>
      <c r="L132" s="167">
        <f>L125-L130</f>
        <v>25374.369999999966</v>
      </c>
      <c r="M132" s="38"/>
      <c r="N132" s="21">
        <f>N125-N130</f>
        <v>9374.350000000006</v>
      </c>
      <c r="O132" s="103"/>
      <c r="P132" s="22"/>
    </row>
    <row r="133" spans="1:16" ht="18" customHeight="1">
      <c r="A133" s="40"/>
      <c r="B133" s="41"/>
      <c r="C133" s="145"/>
      <c r="D133" s="145"/>
      <c r="E133" s="145"/>
      <c r="F133" s="43"/>
      <c r="G133" s="6"/>
      <c r="H133" s="43"/>
      <c r="I133" s="6"/>
      <c r="J133" s="21"/>
      <c r="L133" s="167"/>
      <c r="N133" s="21"/>
      <c r="O133" s="177"/>
      <c r="P133" s="22"/>
    </row>
    <row r="134" spans="1:16" ht="15.75">
      <c r="A134" s="40"/>
      <c r="B134" s="41"/>
      <c r="C134" s="43"/>
      <c r="H134" s="51" t="s">
        <v>250</v>
      </c>
      <c r="J134" s="43"/>
      <c r="K134" s="6"/>
      <c r="L134" s="43"/>
      <c r="O134" s="177"/>
      <c r="P134" s="22"/>
    </row>
    <row r="135" spans="1:16" s="27" customFormat="1" ht="15.75">
      <c r="A135" s="44"/>
      <c r="B135" s="56"/>
      <c r="C135" s="41"/>
      <c r="H135" s="41"/>
      <c r="I135" s="47" t="s">
        <v>173</v>
      </c>
      <c r="J135" s="41"/>
      <c r="K135" s="8"/>
      <c r="L135" s="41"/>
      <c r="O135" s="178"/>
      <c r="P135" s="105"/>
    </row>
    <row r="136" spans="1:16" s="28" customFormat="1" ht="25.5" customHeight="1">
      <c r="A136" s="57"/>
      <c r="B136" s="41"/>
      <c r="C136" s="56"/>
      <c r="H136" s="56" t="s">
        <v>249</v>
      </c>
      <c r="I136"/>
      <c r="K136" s="6"/>
      <c r="L136" s="14">
        <v>126110.97</v>
      </c>
      <c r="O136" s="124"/>
      <c r="P136" s="22"/>
    </row>
    <row r="137" spans="1:16" s="28" customFormat="1" ht="15.75">
      <c r="A137" s="40"/>
      <c r="B137" s="41"/>
      <c r="C137" s="43"/>
      <c r="H137" s="43" t="s">
        <v>231</v>
      </c>
      <c r="I137"/>
      <c r="K137" s="6"/>
      <c r="L137" s="14">
        <v>111116.04</v>
      </c>
      <c r="O137" s="124"/>
      <c r="P137" s="22"/>
    </row>
    <row r="138" spans="1:16" s="28" customFormat="1" ht="16.5" thickBot="1">
      <c r="A138" s="40"/>
      <c r="B138" s="41"/>
      <c r="C138" s="43"/>
      <c r="H138" s="43" t="s">
        <v>232</v>
      </c>
      <c r="I138"/>
      <c r="K138" s="6"/>
      <c r="L138" s="58">
        <v>4475</v>
      </c>
      <c r="O138" s="124"/>
      <c r="P138" s="22"/>
    </row>
    <row r="139" spans="1:16" s="28" customFormat="1" ht="16.5" thickBot="1">
      <c r="A139" s="40"/>
      <c r="B139" s="41"/>
      <c r="C139" s="43"/>
      <c r="H139" s="43" t="s">
        <v>93</v>
      </c>
      <c r="I139"/>
      <c r="K139" s="6"/>
      <c r="L139" s="176">
        <f>SUM(L136:L138)</f>
        <v>241702.01</v>
      </c>
      <c r="O139" s="124"/>
      <c r="P139" s="22"/>
    </row>
    <row r="140" spans="1:16" ht="15.75" thickTop="1">
      <c r="A140" s="59"/>
      <c r="B140" s="60"/>
      <c r="C140" s="61"/>
      <c r="D140" s="61"/>
      <c r="E140" s="61"/>
      <c r="F140" s="61"/>
      <c r="G140" s="62"/>
      <c r="H140" s="123"/>
      <c r="I140" s="62"/>
      <c r="J140"/>
      <c r="N140" s="33"/>
      <c r="O140" s="124"/>
      <c r="P140" s="108"/>
    </row>
    <row r="141" spans="1:16" ht="15.75">
      <c r="A141" s="40"/>
      <c r="B141" s="41"/>
      <c r="C141" s="43"/>
      <c r="D141" s="43"/>
      <c r="E141" s="43"/>
      <c r="F141" s="43"/>
      <c r="G141" s="32"/>
      <c r="H141" s="43"/>
      <c r="I141" s="32"/>
      <c r="J141" s="33"/>
      <c r="L141" s="92"/>
      <c r="N141" s="33"/>
      <c r="O141" s="124"/>
      <c r="P141" s="87"/>
    </row>
    <row r="142" spans="1:16" ht="20.25" customHeight="1">
      <c r="A142" s="59"/>
      <c r="B142" s="133" t="s">
        <v>161</v>
      </c>
      <c r="C142" s="61"/>
      <c r="F142" s="51"/>
      <c r="G142" s="32"/>
      <c r="H142" s="51"/>
      <c r="I142" s="32"/>
      <c r="J142" s="16"/>
      <c r="N142" s="33"/>
      <c r="O142" s="124"/>
      <c r="P142" s="87"/>
    </row>
    <row r="143" spans="1:16" ht="48" customHeight="1" thickBot="1">
      <c r="A143" s="40"/>
      <c r="B143" s="41"/>
      <c r="C143" s="42"/>
      <c r="D143" s="43"/>
      <c r="E143" s="43"/>
      <c r="F143" s="43"/>
      <c r="G143" s="6"/>
      <c r="H143" s="43"/>
      <c r="I143" s="6"/>
      <c r="J143" s="25" t="s">
        <v>154</v>
      </c>
      <c r="L143" s="25" t="s">
        <v>154</v>
      </c>
      <c r="N143" s="25" t="s">
        <v>170</v>
      </c>
      <c r="O143" s="125" t="s">
        <v>172</v>
      </c>
      <c r="P143" s="22"/>
    </row>
    <row r="144" spans="1:16" s="9" customFormat="1" ht="17.25" thickBot="1" thickTop="1">
      <c r="A144" s="44"/>
      <c r="B144" s="41"/>
      <c r="C144" s="41"/>
      <c r="D144" s="41"/>
      <c r="E144" s="41"/>
      <c r="F144" s="41"/>
      <c r="G144" s="8"/>
      <c r="H144" s="41"/>
      <c r="I144" s="8"/>
      <c r="J144" s="45" t="s">
        <v>94</v>
      </c>
      <c r="K144"/>
      <c r="L144" s="89" t="s">
        <v>95</v>
      </c>
      <c r="M144"/>
      <c r="N144" s="45" t="s">
        <v>119</v>
      </c>
      <c r="O144" s="181" t="s">
        <v>246</v>
      </c>
      <c r="P144" s="45" t="s">
        <v>258</v>
      </c>
    </row>
    <row r="145" spans="1:16" s="13" customFormat="1" ht="16.5" thickTop="1">
      <c r="A145" s="46"/>
      <c r="B145" s="47" t="s">
        <v>162</v>
      </c>
      <c r="C145" s="47"/>
      <c r="D145" s="47"/>
      <c r="E145" s="47"/>
      <c r="F145" s="47"/>
      <c r="G145" s="10"/>
      <c r="H145" s="47"/>
      <c r="I145" s="10"/>
      <c r="J145" s="11"/>
      <c r="K145"/>
      <c r="L145" s="90"/>
      <c r="M145"/>
      <c r="N145" s="12"/>
      <c r="O145" s="100"/>
      <c r="P145" s="105"/>
    </row>
    <row r="146" spans="1:16" s="13" customFormat="1" ht="15.75">
      <c r="A146" s="46"/>
      <c r="B146" s="47"/>
      <c r="C146" s="47"/>
      <c r="D146" s="47"/>
      <c r="E146" s="47"/>
      <c r="F146" s="47"/>
      <c r="G146" s="10"/>
      <c r="H146" s="47"/>
      <c r="I146" s="10"/>
      <c r="J146" s="11"/>
      <c r="K146"/>
      <c r="L146" s="90"/>
      <c r="M146"/>
      <c r="N146" s="12"/>
      <c r="O146" s="100"/>
      <c r="P146" s="105"/>
    </row>
    <row r="147" spans="1:16" ht="25.5" customHeight="1">
      <c r="A147" s="40"/>
      <c r="B147" s="41"/>
      <c r="C147" s="48" t="s">
        <v>1</v>
      </c>
      <c r="D147" s="43"/>
      <c r="E147" s="43"/>
      <c r="F147" s="43"/>
      <c r="G147" s="6"/>
      <c r="H147" s="43"/>
      <c r="I147" s="6"/>
      <c r="J147" s="14"/>
      <c r="P147" s="22"/>
    </row>
    <row r="148" spans="1:16" ht="15.75">
      <c r="A148" s="63"/>
      <c r="B148" s="7"/>
      <c r="C148" s="7"/>
      <c r="D148" s="118" t="s">
        <v>163</v>
      </c>
      <c r="E148" s="118"/>
      <c r="F148" s="118"/>
      <c r="G148" s="95"/>
      <c r="H148" s="42"/>
      <c r="I148" s="65"/>
      <c r="J148" s="14"/>
      <c r="L148" s="120"/>
      <c r="N148" s="14"/>
      <c r="P148" s="108"/>
    </row>
    <row r="149" spans="1:16" ht="45.75">
      <c r="A149" s="63"/>
      <c r="B149" s="7"/>
      <c r="C149" s="7"/>
      <c r="D149" s="118"/>
      <c r="E149" s="118" t="s">
        <v>164</v>
      </c>
      <c r="F149" s="118"/>
      <c r="G149" s="95"/>
      <c r="H149" s="42"/>
      <c r="I149" s="65"/>
      <c r="J149" s="14">
        <v>353</v>
      </c>
      <c r="L149" s="120">
        <v>48500</v>
      </c>
      <c r="N149" s="14">
        <f>L176</f>
        <v>82234.47999999998</v>
      </c>
      <c r="O149" s="101"/>
      <c r="P149" s="22" t="s">
        <v>262</v>
      </c>
    </row>
    <row r="150" spans="1:16" ht="30.75">
      <c r="A150" s="63"/>
      <c r="B150" s="7"/>
      <c r="C150" s="7"/>
      <c r="D150" s="118"/>
      <c r="E150" s="118" t="s">
        <v>165</v>
      </c>
      <c r="F150" s="118"/>
      <c r="G150" s="95"/>
      <c r="H150" s="42"/>
      <c r="I150" s="65"/>
      <c r="J150" s="14">
        <v>38110</v>
      </c>
      <c r="L150" s="120">
        <v>38110</v>
      </c>
      <c r="N150" s="185">
        <f>N127</f>
        <v>60000</v>
      </c>
      <c r="O150" s="101">
        <f>(N150-J150)/J150</f>
        <v>0.5743899239044871</v>
      </c>
      <c r="P150" s="22" t="s">
        <v>257</v>
      </c>
    </row>
    <row r="151" spans="2:16" ht="15.75">
      <c r="B151" s="7"/>
      <c r="C151" s="7"/>
      <c r="D151" s="118"/>
      <c r="E151" s="118" t="s">
        <v>166</v>
      </c>
      <c r="F151" s="118"/>
      <c r="G151" s="95"/>
      <c r="J151" s="14"/>
      <c r="L151" s="120">
        <v>11.5</v>
      </c>
      <c r="N151" s="14"/>
      <c r="P151" s="22"/>
    </row>
    <row r="152" spans="2:16" ht="15.75">
      <c r="B152" s="7"/>
      <c r="C152" s="7"/>
      <c r="D152" s="118"/>
      <c r="E152" s="118" t="s">
        <v>180</v>
      </c>
      <c r="F152" s="118"/>
      <c r="G152" s="95"/>
      <c r="J152" s="14">
        <v>28000</v>
      </c>
      <c r="L152" s="120">
        <v>15000</v>
      </c>
      <c r="N152" s="14">
        <v>19000</v>
      </c>
      <c r="O152" s="101">
        <f>(N152-J152)/J152</f>
        <v>-0.32142857142857145</v>
      </c>
      <c r="P152" s="22" t="s">
        <v>189</v>
      </c>
    </row>
    <row r="153" spans="2:16" ht="16.5" thickBot="1">
      <c r="B153" s="7"/>
      <c r="C153" s="7"/>
      <c r="D153" s="118"/>
      <c r="E153" s="118" t="s">
        <v>167</v>
      </c>
      <c r="F153" s="118"/>
      <c r="G153" s="95"/>
      <c r="J153" s="14">
        <v>115000</v>
      </c>
      <c r="L153" s="120">
        <v>115000</v>
      </c>
      <c r="N153" s="14"/>
      <c r="P153" s="22"/>
    </row>
    <row r="154" spans="2:15" ht="15.75">
      <c r="B154" s="7"/>
      <c r="C154" s="118" t="s">
        <v>168</v>
      </c>
      <c r="D154" s="7"/>
      <c r="E154" s="119"/>
      <c r="F154" s="119"/>
      <c r="G154" s="95"/>
      <c r="J154" s="121">
        <f>SUM(J149:J153)</f>
        <v>181463</v>
      </c>
      <c r="L154" s="121">
        <f>SUM(L149:L153)</f>
        <v>216621.5</v>
      </c>
      <c r="N154" s="121">
        <f>SUM(N149:N153)</f>
        <v>161234.47999999998</v>
      </c>
      <c r="O154" s="175">
        <f>(N154-J154)/J154</f>
        <v>-0.11147462568126847</v>
      </c>
    </row>
    <row r="155" spans="10:14" ht="15">
      <c r="J155" s="14"/>
      <c r="L155" s="120"/>
      <c r="N155" s="14"/>
    </row>
    <row r="156" spans="1:16" ht="25.5" customHeight="1">
      <c r="A156" s="40"/>
      <c r="B156" s="41"/>
      <c r="C156" s="48" t="s">
        <v>10</v>
      </c>
      <c r="D156" s="43"/>
      <c r="E156" s="43"/>
      <c r="F156" s="43"/>
      <c r="G156" s="6"/>
      <c r="H156" s="43"/>
      <c r="I156" s="6"/>
      <c r="J156" s="16"/>
      <c r="P156" s="22"/>
    </row>
    <row r="157" spans="1:16" ht="20.25" customHeight="1">
      <c r="A157" s="59"/>
      <c r="B157" s="51"/>
      <c r="C157" s="61"/>
      <c r="D157" s="95" t="s">
        <v>134</v>
      </c>
      <c r="F157" s="51"/>
      <c r="G157" s="32"/>
      <c r="H157" s="51"/>
      <c r="I157" s="32"/>
      <c r="J157" s="16"/>
      <c r="P157" s="87"/>
    </row>
    <row r="158" spans="1:16" ht="23.25" customHeight="1">
      <c r="A158" s="59"/>
      <c r="B158" s="51"/>
      <c r="C158" s="61"/>
      <c r="D158" s="95"/>
      <c r="E158" s="95" t="s">
        <v>233</v>
      </c>
      <c r="F158" s="51"/>
      <c r="G158" s="32"/>
      <c r="H158" s="51"/>
      <c r="I158" s="32"/>
      <c r="J158" s="137"/>
      <c r="L158" s="139"/>
      <c r="N158" s="140"/>
      <c r="P158" s="22"/>
    </row>
    <row r="159" spans="1:16" ht="20.25" customHeight="1">
      <c r="A159" s="59"/>
      <c r="B159" s="51"/>
      <c r="C159" s="61"/>
      <c r="D159" s="95"/>
      <c r="E159" s="146" t="s">
        <v>195</v>
      </c>
      <c r="F159" s="51"/>
      <c r="G159" s="32"/>
      <c r="H159" s="51"/>
      <c r="I159" s="32"/>
      <c r="J159" s="156">
        <v>7000</v>
      </c>
      <c r="L159" s="154">
        <v>7000</v>
      </c>
      <c r="N159" s="137"/>
      <c r="O159" s="101">
        <f>(N159-J159)/J159</f>
        <v>-1</v>
      </c>
      <c r="P159" s="22" t="s">
        <v>196</v>
      </c>
    </row>
    <row r="160" spans="1:16" ht="32.25" customHeight="1">
      <c r="A160" s="59"/>
      <c r="B160" s="51"/>
      <c r="C160" s="61"/>
      <c r="D160" s="95"/>
      <c r="E160" s="146" t="s">
        <v>174</v>
      </c>
      <c r="F160" s="51"/>
      <c r="G160" s="32"/>
      <c r="H160" s="51"/>
      <c r="I160" s="32"/>
      <c r="J160" s="156">
        <v>22936</v>
      </c>
      <c r="L160" s="154">
        <v>18000</v>
      </c>
      <c r="N160" s="172">
        <v>18000</v>
      </c>
      <c r="O160" s="101">
        <f>(N160-J160)/J160</f>
        <v>-0.21520753400767353</v>
      </c>
      <c r="P160" s="22" t="s">
        <v>218</v>
      </c>
    </row>
    <row r="161" spans="1:16" ht="20.25" customHeight="1">
      <c r="A161" s="59"/>
      <c r="B161" s="51"/>
      <c r="C161" s="61"/>
      <c r="D161" s="95"/>
      <c r="E161" s="95" t="s">
        <v>234</v>
      </c>
      <c r="F161" s="51"/>
      <c r="G161" s="32"/>
      <c r="H161" s="51"/>
      <c r="I161" s="32"/>
      <c r="J161" s="16"/>
      <c r="P161" s="87"/>
    </row>
    <row r="162" spans="1:16" ht="34.5" customHeight="1">
      <c r="A162" s="59"/>
      <c r="B162" s="51"/>
      <c r="C162" s="61"/>
      <c r="D162" s="95"/>
      <c r="E162" s="146" t="s">
        <v>176</v>
      </c>
      <c r="F162" s="51"/>
      <c r="G162" s="32"/>
      <c r="H162" s="51"/>
      <c r="I162" s="32"/>
      <c r="J162" s="137"/>
      <c r="L162" s="139"/>
      <c r="N162" s="172">
        <v>15000</v>
      </c>
      <c r="O162" s="101"/>
      <c r="P162" s="22" t="s">
        <v>221</v>
      </c>
    </row>
    <row r="163" spans="1:16" ht="31.5" customHeight="1">
      <c r="A163" s="59"/>
      <c r="B163" s="51"/>
      <c r="C163" s="61"/>
      <c r="D163" s="95"/>
      <c r="E163" s="146" t="s">
        <v>177</v>
      </c>
      <c r="F163" s="51"/>
      <c r="G163" s="32"/>
      <c r="H163" s="51"/>
      <c r="I163" s="32"/>
      <c r="J163" s="137"/>
      <c r="L163" s="139"/>
      <c r="N163" s="172">
        <v>15000</v>
      </c>
      <c r="O163" s="101"/>
      <c r="P163" s="22" t="s">
        <v>221</v>
      </c>
    </row>
    <row r="164" spans="1:16" ht="15.75">
      <c r="A164" s="59"/>
      <c r="B164" s="60"/>
      <c r="C164" s="61"/>
      <c r="D164" s="61"/>
      <c r="E164" s="95" t="s">
        <v>235</v>
      </c>
      <c r="F164" s="51" t="s">
        <v>84</v>
      </c>
      <c r="G164" s="32"/>
      <c r="H164" s="51" t="s">
        <v>84</v>
      </c>
      <c r="I164" s="32"/>
      <c r="J164" s="7"/>
      <c r="L164" s="7"/>
      <c r="N164" s="7"/>
      <c r="P164" s="7"/>
    </row>
    <row r="165" spans="1:16" ht="30.75">
      <c r="A165" s="59"/>
      <c r="B165" s="60"/>
      <c r="C165" s="61"/>
      <c r="D165" s="61"/>
      <c r="E165" s="146" t="s">
        <v>175</v>
      </c>
      <c r="F165" s="51"/>
      <c r="G165" s="32"/>
      <c r="H165" s="51"/>
      <c r="I165" s="32"/>
      <c r="J165" s="156">
        <v>5000</v>
      </c>
      <c r="L165" s="154">
        <v>5000</v>
      </c>
      <c r="N165" s="172">
        <v>5000</v>
      </c>
      <c r="O165" s="101">
        <f>(N165-J165)/J165</f>
        <v>0</v>
      </c>
      <c r="P165" s="22" t="s">
        <v>219</v>
      </c>
    </row>
    <row r="166" spans="1:16" ht="21.75" customHeight="1">
      <c r="A166" s="59"/>
      <c r="B166" s="60"/>
      <c r="C166" s="61"/>
      <c r="D166" s="61"/>
      <c r="E166" s="95" t="s">
        <v>236</v>
      </c>
      <c r="F166" s="7"/>
      <c r="H166" s="7"/>
      <c r="J166" s="7"/>
      <c r="L166" s="7"/>
      <c r="N166" s="7"/>
      <c r="P166" s="7"/>
    </row>
    <row r="167" spans="1:16" ht="15.75">
      <c r="A167" s="59"/>
      <c r="B167" s="60"/>
      <c r="C167" s="61"/>
      <c r="D167" s="61"/>
      <c r="E167" s="146" t="s">
        <v>194</v>
      </c>
      <c r="F167" s="51"/>
      <c r="G167" s="32"/>
      <c r="H167" s="51"/>
      <c r="I167" s="32"/>
      <c r="J167" s="156">
        <v>10000</v>
      </c>
      <c r="L167" s="154">
        <v>10000</v>
      </c>
      <c r="N167" s="172">
        <v>5000</v>
      </c>
      <c r="O167" s="101">
        <f>(N167-J167)/J167</f>
        <v>-0.5</v>
      </c>
      <c r="P167" s="22" t="s">
        <v>217</v>
      </c>
    </row>
    <row r="168" spans="1:16" ht="19.5" customHeight="1">
      <c r="A168" s="59"/>
      <c r="B168" s="60"/>
      <c r="C168" s="61"/>
      <c r="D168" s="61"/>
      <c r="E168" s="95" t="s">
        <v>237</v>
      </c>
      <c r="F168" s="7"/>
      <c r="H168" s="7"/>
      <c r="J168" s="7"/>
      <c r="L168" s="7"/>
      <c r="N168" s="7"/>
      <c r="P168" s="7"/>
    </row>
    <row r="169" spans="1:16" ht="30.75">
      <c r="A169" s="59"/>
      <c r="B169" s="60"/>
      <c r="C169" s="61"/>
      <c r="D169" s="61"/>
      <c r="E169" s="146" t="s">
        <v>178</v>
      </c>
      <c r="F169" s="51"/>
      <c r="G169" s="32"/>
      <c r="H169" s="51"/>
      <c r="I169" s="32"/>
      <c r="J169" s="137"/>
      <c r="L169" s="139"/>
      <c r="N169" s="172">
        <v>11000</v>
      </c>
      <c r="O169" s="101"/>
      <c r="P169" s="22" t="s">
        <v>220</v>
      </c>
    </row>
    <row r="170" spans="1:16" ht="22.5" customHeight="1">
      <c r="A170" s="59"/>
      <c r="B170" s="60"/>
      <c r="C170" s="61"/>
      <c r="D170" s="61"/>
      <c r="E170" s="95" t="s">
        <v>238</v>
      </c>
      <c r="F170" s="7"/>
      <c r="H170" s="7"/>
      <c r="J170" s="7"/>
      <c r="L170" s="7"/>
      <c r="N170" s="7"/>
      <c r="P170" s="7"/>
    </row>
    <row r="171" spans="1:16" ht="34.5" customHeight="1">
      <c r="A171" s="59"/>
      <c r="B171" s="60"/>
      <c r="C171" s="61"/>
      <c r="D171" s="61"/>
      <c r="E171" s="146" t="s">
        <v>198</v>
      </c>
      <c r="F171" s="51"/>
      <c r="G171" s="32"/>
      <c r="H171" s="51"/>
      <c r="I171" s="32"/>
      <c r="J171" s="137"/>
      <c r="L171" s="139"/>
      <c r="N171" s="172">
        <v>9500</v>
      </c>
      <c r="P171" s="141" t="s">
        <v>192</v>
      </c>
    </row>
    <row r="172" spans="1:16" ht="31.5">
      <c r="A172" s="59"/>
      <c r="B172" s="60"/>
      <c r="C172" s="61"/>
      <c r="D172" s="61"/>
      <c r="E172" s="146" t="s">
        <v>199</v>
      </c>
      <c r="F172" s="51"/>
      <c r="G172" s="32"/>
      <c r="H172" s="51"/>
      <c r="I172" s="32"/>
      <c r="J172" s="137"/>
      <c r="L172" s="139"/>
      <c r="N172" s="172">
        <v>8500</v>
      </c>
      <c r="P172" s="141" t="s">
        <v>193</v>
      </c>
    </row>
    <row r="173" spans="1:16" ht="15.75">
      <c r="A173" s="63"/>
      <c r="B173" s="64"/>
      <c r="C173" s="42"/>
      <c r="D173" s="95" t="s">
        <v>135</v>
      </c>
      <c r="E173" s="95"/>
      <c r="F173" s="95"/>
      <c r="G173" s="96"/>
      <c r="H173" s="95"/>
      <c r="I173" s="96"/>
      <c r="J173" s="137"/>
      <c r="L173" s="139"/>
      <c r="N173" s="137"/>
      <c r="P173" s="141"/>
    </row>
    <row r="174" spans="1:15" ht="15.75" customHeight="1" thickBot="1">
      <c r="A174" s="40"/>
      <c r="B174" s="41"/>
      <c r="C174" s="43"/>
      <c r="D174" s="43"/>
      <c r="E174" s="43" t="s">
        <v>153</v>
      </c>
      <c r="F174" s="43"/>
      <c r="G174" s="32"/>
      <c r="H174" s="43"/>
      <c r="I174" s="32"/>
      <c r="J174" s="174">
        <v>115000</v>
      </c>
      <c r="L174" s="163">
        <v>94387.02</v>
      </c>
      <c r="N174" s="174">
        <v>20612.98</v>
      </c>
      <c r="O174" s="101">
        <f>(N174-J174)/J174</f>
        <v>-0.8207566956521739</v>
      </c>
    </row>
    <row r="175" spans="3:15" ht="16.5" thickBot="1">
      <c r="C175" s="43" t="s">
        <v>69</v>
      </c>
      <c r="J175" s="121">
        <f>SUM(J159:J174)</f>
        <v>159936</v>
      </c>
      <c r="L175" s="121">
        <f>SUM(L159:L174)</f>
        <v>134387.02000000002</v>
      </c>
      <c r="N175" s="121">
        <f>SUM(N159:N174)</f>
        <v>107612.98</v>
      </c>
      <c r="O175" s="175">
        <f>(N175-J175)/J175</f>
        <v>-0.3271497348939576</v>
      </c>
    </row>
    <row r="176" spans="1:18" ht="25.5" customHeight="1" thickBot="1">
      <c r="A176" s="46"/>
      <c r="B176" s="47" t="s">
        <v>169</v>
      </c>
      <c r="C176" s="47"/>
      <c r="D176" s="47"/>
      <c r="E176" s="47"/>
      <c r="F176" s="43"/>
      <c r="G176" s="6"/>
      <c r="H176" s="43"/>
      <c r="I176" s="6"/>
      <c r="J176" s="85">
        <f>J154-J175</f>
        <v>21527</v>
      </c>
      <c r="L176" s="85">
        <f>L154-L175</f>
        <v>82234.47999999998</v>
      </c>
      <c r="N176" s="85">
        <f>N154-N175</f>
        <v>53621.499999999985</v>
      </c>
      <c r="O176" s="175">
        <f>(N176-J176)/J176</f>
        <v>1.4908951549217255</v>
      </c>
      <c r="P176" s="22" t="s">
        <v>84</v>
      </c>
      <c r="R176" s="122"/>
    </row>
    <row r="177" ht="25.5" customHeight="1" thickTop="1"/>
    <row r="178" ht="25.5" customHeight="1"/>
    <row r="179" ht="25.5" customHeight="1"/>
    <row r="180" ht="12.75"/>
    <row r="181" spans="1:16" ht="51.75" customHeight="1" thickBot="1">
      <c r="A181" s="40"/>
      <c r="B181" s="133" t="s">
        <v>248</v>
      </c>
      <c r="C181" s="42"/>
      <c r="D181" s="43"/>
      <c r="E181" s="43"/>
      <c r="F181" s="43"/>
      <c r="G181" s="6"/>
      <c r="H181" s="43"/>
      <c r="I181" s="6"/>
      <c r="J181" s="25" t="s">
        <v>154</v>
      </c>
      <c r="L181" s="25" t="s">
        <v>154</v>
      </c>
      <c r="N181" s="25" t="s">
        <v>170</v>
      </c>
      <c r="O181" s="125" t="s">
        <v>172</v>
      </c>
      <c r="P181" s="22"/>
    </row>
    <row r="182" spans="1:16" ht="17.25" thickBot="1" thickTop="1">
      <c r="A182" s="44"/>
      <c r="B182" s="41"/>
      <c r="C182" s="41"/>
      <c r="D182" s="41"/>
      <c r="E182" s="41"/>
      <c r="F182" s="41"/>
      <c r="G182" s="8"/>
      <c r="H182" s="41"/>
      <c r="I182" s="8"/>
      <c r="J182" s="45" t="s">
        <v>94</v>
      </c>
      <c r="L182" s="89" t="s">
        <v>95</v>
      </c>
      <c r="N182" s="45" t="s">
        <v>119</v>
      </c>
      <c r="O182" s="181" t="s">
        <v>246</v>
      </c>
      <c r="P182" s="45" t="s">
        <v>258</v>
      </c>
    </row>
    <row r="183" spans="1:16" ht="16.5" thickTop="1">
      <c r="A183" s="46"/>
      <c r="B183" s="47" t="s">
        <v>259</v>
      </c>
      <c r="C183" s="47"/>
      <c r="D183" s="47"/>
      <c r="E183" s="47"/>
      <c r="F183" s="47"/>
      <c r="G183" s="10"/>
      <c r="H183" s="47"/>
      <c r="I183" s="10"/>
      <c r="J183" s="11"/>
      <c r="L183" s="90"/>
      <c r="N183" s="12"/>
      <c r="P183" s="105"/>
    </row>
    <row r="184" spans="1:16" ht="9.75" customHeight="1">
      <c r="A184" s="46"/>
      <c r="B184" s="47"/>
      <c r="C184" s="47"/>
      <c r="D184" s="47"/>
      <c r="E184" s="47"/>
      <c r="F184" s="47"/>
      <c r="G184" s="10"/>
      <c r="H184" s="47"/>
      <c r="I184" s="10"/>
      <c r="J184" s="11"/>
      <c r="L184" s="90"/>
      <c r="N184" s="12"/>
      <c r="P184" s="105"/>
    </row>
    <row r="185" spans="1:16" ht="15.75">
      <c r="A185" s="40"/>
      <c r="B185" s="41"/>
      <c r="C185" s="48" t="s">
        <v>1</v>
      </c>
      <c r="D185" s="43"/>
      <c r="E185" s="43"/>
      <c r="F185" s="43"/>
      <c r="G185" s="6"/>
      <c r="H185" s="43"/>
      <c r="I185" s="6"/>
      <c r="J185" s="14"/>
      <c r="P185" s="22"/>
    </row>
    <row r="186" spans="1:16" ht="15.75">
      <c r="A186" s="40"/>
      <c r="B186" s="41"/>
      <c r="C186" s="48"/>
      <c r="D186" s="43" t="s">
        <v>186</v>
      </c>
      <c r="E186" s="43"/>
      <c r="F186" s="43"/>
      <c r="G186" s="6"/>
      <c r="H186" s="43"/>
      <c r="I186" s="6"/>
      <c r="J186" s="14"/>
      <c r="P186" s="22"/>
    </row>
    <row r="187" spans="1:16" ht="15.75">
      <c r="A187" s="40"/>
      <c r="B187" s="41"/>
      <c r="C187" s="48"/>
      <c r="D187" s="43"/>
      <c r="E187" s="43" t="s">
        <v>228</v>
      </c>
      <c r="F187" s="43"/>
      <c r="G187" s="6"/>
      <c r="H187" s="43"/>
      <c r="I187" s="6"/>
      <c r="J187" s="154">
        <v>29475</v>
      </c>
      <c r="L187" s="154">
        <v>29475</v>
      </c>
      <c r="N187" s="156">
        <v>29475</v>
      </c>
      <c r="O187" s="101">
        <f>(N187-J187)/J187</f>
        <v>0</v>
      </c>
      <c r="P187" s="22"/>
    </row>
    <row r="188" spans="1:16" ht="15.75">
      <c r="A188" s="40"/>
      <c r="B188" s="41"/>
      <c r="C188" s="43"/>
      <c r="D188" s="43"/>
      <c r="E188" s="43" t="s">
        <v>130</v>
      </c>
      <c r="F188" s="43"/>
      <c r="G188" s="6"/>
      <c r="H188" s="43"/>
      <c r="I188" s="6"/>
      <c r="J188" s="134"/>
      <c r="L188" s="154">
        <v>103645</v>
      </c>
      <c r="N188" s="156">
        <v>50000</v>
      </c>
      <c r="O188" s="101"/>
      <c r="P188" s="22"/>
    </row>
    <row r="189" spans="2:14" ht="16.5" thickBot="1">
      <c r="B189" s="7"/>
      <c r="C189" s="7"/>
      <c r="D189" s="118"/>
      <c r="E189" s="118" t="s">
        <v>184</v>
      </c>
      <c r="F189" s="118"/>
      <c r="G189" s="95"/>
      <c r="J189" s="135"/>
      <c r="L189" s="136"/>
      <c r="N189" s="135"/>
    </row>
    <row r="190" spans="2:15" ht="15.75">
      <c r="B190" s="7"/>
      <c r="C190" s="118" t="s">
        <v>185</v>
      </c>
      <c r="D190" s="7"/>
      <c r="E190" s="119"/>
      <c r="F190" s="119"/>
      <c r="G190" s="95"/>
      <c r="J190" s="121">
        <f>SUM(J187:J189)</f>
        <v>29475</v>
      </c>
      <c r="L190" s="121">
        <f>SUM(L187:L189)</f>
        <v>133120</v>
      </c>
      <c r="N190" s="121">
        <f>SUM(N187:N189)</f>
        <v>79475</v>
      </c>
      <c r="O190" s="175"/>
    </row>
    <row r="191" spans="10:14" ht="12" customHeight="1">
      <c r="J191" s="14"/>
      <c r="L191" s="120"/>
      <c r="N191" s="14"/>
    </row>
    <row r="192" spans="1:16" ht="15.75">
      <c r="A192" s="40"/>
      <c r="B192" s="41"/>
      <c r="C192" s="48" t="s">
        <v>10</v>
      </c>
      <c r="D192" s="43"/>
      <c r="E192" s="43"/>
      <c r="F192" s="43"/>
      <c r="G192" s="6"/>
      <c r="H192" s="43"/>
      <c r="I192" s="6"/>
      <c r="J192" s="16"/>
      <c r="P192" s="22"/>
    </row>
    <row r="193" spans="1:16" ht="15.75">
      <c r="A193" s="63"/>
      <c r="B193" s="64"/>
      <c r="C193" s="42"/>
      <c r="D193" s="95" t="s">
        <v>186</v>
      </c>
      <c r="E193" s="95"/>
      <c r="F193" s="95"/>
      <c r="G193" s="96"/>
      <c r="H193" s="95"/>
      <c r="I193" s="96"/>
      <c r="J193" s="16"/>
      <c r="P193" s="87"/>
    </row>
    <row r="194" spans="1:16" ht="16.5" thickBot="1">
      <c r="A194" s="63"/>
      <c r="B194" s="64"/>
      <c r="C194" s="42"/>
      <c r="D194" s="95"/>
      <c r="E194" s="95" t="s">
        <v>188</v>
      </c>
      <c r="F194" s="95"/>
      <c r="G194" s="96"/>
      <c r="H194" s="95"/>
      <c r="I194" s="96"/>
      <c r="J194" s="137"/>
      <c r="L194" s="154">
        <v>103645</v>
      </c>
      <c r="N194" s="156">
        <v>50000</v>
      </c>
      <c r="P194" s="173" t="s">
        <v>247</v>
      </c>
    </row>
    <row r="195" spans="3:15" ht="16.5" thickBot="1">
      <c r="C195" s="43" t="s">
        <v>69</v>
      </c>
      <c r="J195" s="121">
        <f>SUM(J193:J194)</f>
        <v>0</v>
      </c>
      <c r="L195" s="121">
        <f>SUM(L193:L194)</f>
        <v>103645</v>
      </c>
      <c r="N195" s="121">
        <f>SUM(N193:N194)</f>
        <v>50000</v>
      </c>
      <c r="O195" s="175"/>
    </row>
    <row r="196" spans="1:16" ht="16.5" thickBot="1">
      <c r="A196" s="46"/>
      <c r="B196" s="47" t="s">
        <v>260</v>
      </c>
      <c r="C196" s="47"/>
      <c r="D196" s="47"/>
      <c r="E196" s="47"/>
      <c r="F196" s="43"/>
      <c r="G196" s="6"/>
      <c r="H196" s="43"/>
      <c r="I196" s="6"/>
      <c r="J196" s="85">
        <f>J190-J195</f>
        <v>29475</v>
      </c>
      <c r="L196" s="85">
        <f>L190-L195</f>
        <v>29475</v>
      </c>
      <c r="N196" s="85">
        <f>N190-N195</f>
        <v>29475</v>
      </c>
      <c r="O196" s="101">
        <f>(N196-J196)/J196</f>
        <v>0</v>
      </c>
      <c r="P196" s="22" t="s">
        <v>84</v>
      </c>
    </row>
    <row r="197" spans="10:15" ht="15.75" thickTop="1">
      <c r="J197" s="14"/>
      <c r="L197" s="120"/>
      <c r="N197" s="15"/>
      <c r="O197" s="124"/>
    </row>
    <row r="198" spans="14:15" ht="15">
      <c r="N198" s="33"/>
      <c r="O198" s="124"/>
    </row>
    <row r="199" spans="14:15" ht="15">
      <c r="N199" s="33"/>
      <c r="O199" s="124"/>
    </row>
    <row r="200" spans="14:15" ht="15">
      <c r="N200" s="33"/>
      <c r="O200" s="124"/>
    </row>
    <row r="201" spans="14:15" ht="15">
      <c r="N201" s="33"/>
      <c r="O201" s="124"/>
    </row>
    <row r="202" spans="14:15" ht="15">
      <c r="N202" s="33"/>
      <c r="O202" s="124"/>
    </row>
    <row r="203" spans="14:15" ht="15">
      <c r="N203" s="33"/>
      <c r="O203" s="124"/>
    </row>
    <row r="204" spans="14:15" ht="15">
      <c r="N204" s="33"/>
      <c r="O204" s="124"/>
    </row>
    <row r="205" spans="14:15" ht="15">
      <c r="N205" s="33"/>
      <c r="O205" s="124"/>
    </row>
    <row r="206" spans="14:15" ht="15">
      <c r="N206" s="33"/>
      <c r="O206" s="124"/>
    </row>
    <row r="207" spans="14:15" ht="15">
      <c r="N207" s="33"/>
      <c r="O207" s="124"/>
    </row>
    <row r="208" spans="14:15" ht="15">
      <c r="N208" s="33"/>
      <c r="O208" s="124"/>
    </row>
    <row r="209" spans="14:15" ht="15">
      <c r="N209" s="33"/>
      <c r="O209" s="124"/>
    </row>
    <row r="210" spans="14:15" ht="15">
      <c r="N210" s="33"/>
      <c r="O210" s="124"/>
    </row>
    <row r="211" spans="14:15" ht="15">
      <c r="N211" s="33"/>
      <c r="O211" s="124"/>
    </row>
    <row r="212" spans="14:15" ht="15">
      <c r="N212" s="33"/>
      <c r="O212" s="124"/>
    </row>
    <row r="213" spans="14:15" ht="15">
      <c r="N213" s="33"/>
      <c r="O213" s="124"/>
    </row>
    <row r="214" spans="14:15" ht="15">
      <c r="N214" s="33"/>
      <c r="O214" s="124"/>
    </row>
    <row r="215" spans="14:15" ht="15">
      <c r="N215" s="33"/>
      <c r="O215" s="124"/>
    </row>
    <row r="216" spans="14:15" ht="15">
      <c r="N216" s="33"/>
      <c r="O216" s="124"/>
    </row>
    <row r="217" spans="14:15" ht="15">
      <c r="N217" s="33"/>
      <c r="O217" s="124"/>
    </row>
    <row r="218" spans="14:15" ht="15">
      <c r="N218" s="33"/>
      <c r="O218" s="124"/>
    </row>
    <row r="219" spans="14:15" ht="15">
      <c r="N219" s="33"/>
      <c r="O219" s="124"/>
    </row>
    <row r="220" spans="14:15" ht="15">
      <c r="N220" s="33"/>
      <c r="O220" s="124"/>
    </row>
    <row r="221" spans="14:15" ht="15">
      <c r="N221" s="33"/>
      <c r="O221" s="124"/>
    </row>
    <row r="222" spans="14:15" ht="15">
      <c r="N222" s="33"/>
      <c r="O222" s="124"/>
    </row>
    <row r="223" spans="14:15" ht="15">
      <c r="N223" s="33"/>
      <c r="O223" s="124"/>
    </row>
    <row r="224" spans="14:15" ht="15">
      <c r="N224" s="33"/>
      <c r="O224" s="124"/>
    </row>
    <row r="225" spans="14:15" ht="15">
      <c r="N225" s="33"/>
      <c r="O225" s="124"/>
    </row>
    <row r="226" spans="14:15" ht="15">
      <c r="N226" s="33"/>
      <c r="O226" s="124"/>
    </row>
    <row r="227" spans="14:15" ht="15">
      <c r="N227" s="33"/>
      <c r="O227" s="124"/>
    </row>
    <row r="228" spans="14:15" ht="15">
      <c r="N228" s="33"/>
      <c r="O228" s="124"/>
    </row>
    <row r="229" spans="14:15" ht="15">
      <c r="N229" s="33"/>
      <c r="O229" s="124"/>
    </row>
    <row r="230" spans="14:15" ht="15">
      <c r="N230" s="33"/>
      <c r="O230" s="124"/>
    </row>
    <row r="231" spans="14:15" ht="15">
      <c r="N231" s="33"/>
      <c r="O231" s="124"/>
    </row>
    <row r="232" spans="14:15" ht="15">
      <c r="N232" s="33"/>
      <c r="O232" s="124"/>
    </row>
    <row r="233" spans="14:15" ht="15">
      <c r="N233" s="33"/>
      <c r="O233" s="124"/>
    </row>
    <row r="234" spans="14:15" ht="15">
      <c r="N234" s="33"/>
      <c r="O234" s="124"/>
    </row>
    <row r="235" spans="14:15" ht="15">
      <c r="N235" s="33"/>
      <c r="O235" s="124"/>
    </row>
    <row r="236" spans="14:15" ht="15">
      <c r="N236" s="33"/>
      <c r="O236" s="124"/>
    </row>
    <row r="237" spans="14:15" ht="15">
      <c r="N237" s="33"/>
      <c r="O237" s="124"/>
    </row>
    <row r="238" spans="14:15" ht="15">
      <c r="N238" s="33"/>
      <c r="O238" s="124"/>
    </row>
    <row r="239" spans="14:15" ht="15">
      <c r="N239" s="33"/>
      <c r="O239" s="124"/>
    </row>
    <row r="240" spans="14:15" ht="15">
      <c r="N240" s="33"/>
      <c r="O240" s="124"/>
    </row>
    <row r="241" spans="14:15" ht="15">
      <c r="N241" s="33"/>
      <c r="O241" s="124"/>
    </row>
    <row r="242" spans="14:15" ht="15">
      <c r="N242" s="33"/>
      <c r="O242" s="124"/>
    </row>
    <row r="243" spans="14:15" ht="15">
      <c r="N243" s="33"/>
      <c r="O243" s="124"/>
    </row>
    <row r="244" spans="14:15" ht="15">
      <c r="N244" s="33"/>
      <c r="O244" s="124"/>
    </row>
    <row r="245" spans="14:15" ht="15">
      <c r="N245" s="33"/>
      <c r="O245" s="124"/>
    </row>
    <row r="246" spans="14:15" ht="15">
      <c r="N246" s="33"/>
      <c r="O246" s="124"/>
    </row>
    <row r="247" spans="14:15" ht="15">
      <c r="N247" s="33"/>
      <c r="O247" s="124"/>
    </row>
    <row r="248" spans="14:15" ht="15">
      <c r="N248" s="33"/>
      <c r="O248" s="124"/>
    </row>
    <row r="249" spans="14:15" ht="15">
      <c r="N249" s="33"/>
      <c r="O249" s="124"/>
    </row>
    <row r="250" spans="14:15" ht="15">
      <c r="N250" s="33"/>
      <c r="O250" s="124"/>
    </row>
    <row r="251" spans="14:15" ht="15">
      <c r="N251" s="33"/>
      <c r="O251" s="124"/>
    </row>
    <row r="252" spans="14:15" ht="15">
      <c r="N252" s="33"/>
      <c r="O252" s="124"/>
    </row>
    <row r="253" spans="14:15" ht="15">
      <c r="N253" s="33"/>
      <c r="O253" s="124"/>
    </row>
    <row r="254" spans="14:15" ht="15">
      <c r="N254" s="33"/>
      <c r="O254" s="124"/>
    </row>
    <row r="255" spans="14:15" ht="15">
      <c r="N255" s="33"/>
      <c r="O255" s="124"/>
    </row>
    <row r="256" spans="14:15" ht="15">
      <c r="N256" s="33"/>
      <c r="O256" s="124"/>
    </row>
  </sheetData>
  <sheetProtection formatCells="0" insertRows="0" selectLockedCells="1"/>
  <mergeCells count="2">
    <mergeCell ref="B126:E126"/>
    <mergeCell ref="B132:E132"/>
  </mergeCells>
  <printOptions gridLines="1" horizontalCentered="1"/>
  <pageMargins left="0.7" right="0.7" top="0.75" bottom="0.5" header="0.3" footer="0.3"/>
  <pageSetup fitToHeight="0" fitToWidth="1" horizontalDpi="600" verticalDpi="600" orientation="portrait" scale="48" r:id="rId1"/>
  <headerFooter alignWithMargins="0">
    <oddHeader>&amp;L &amp;CFCR Budget 2015-2016</oddHeader>
    <oddFooter>&amp;L&amp;D&amp;R&amp;"Times New Roman,Bold" Page &amp;P of &amp;N</oddFooter>
  </headerFooter>
  <rowBreaks count="2" manualBreakCount="2">
    <brk id="67" min="1" max="15" man="1"/>
    <brk id="140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">
      <selection activeCell="H19" sqref="H19"/>
    </sheetView>
  </sheetViews>
  <sheetFormatPr defaultColWidth="9.140625" defaultRowHeight="12.75"/>
  <cols>
    <col min="2" max="2" width="18.8515625" style="0" customWidth="1"/>
    <col min="3" max="3" width="16.28125" style="0" customWidth="1"/>
    <col min="4" max="4" width="9.140625" style="2" customWidth="1"/>
    <col min="5" max="5" width="13.28125" style="0" customWidth="1"/>
    <col min="7" max="7" width="11.8515625" style="0" customWidth="1"/>
    <col min="8" max="8" width="12.140625" style="0" customWidth="1"/>
    <col min="10" max="10" width="10.140625" style="0" customWidth="1"/>
  </cols>
  <sheetData>
    <row r="1" spans="1:4" ht="12.75">
      <c r="A1" s="38" t="s">
        <v>84</v>
      </c>
      <c r="B1" s="38"/>
      <c r="C1" s="38"/>
      <c r="D1" s="39"/>
    </row>
    <row r="3" spans="1:2" ht="12.75">
      <c r="A3" s="3" t="s">
        <v>181</v>
      </c>
      <c r="B3" s="3"/>
    </row>
    <row r="5" spans="1:6" ht="12.75">
      <c r="A5" s="75" t="s">
        <v>84</v>
      </c>
      <c r="D5" s="2" t="s">
        <v>84</v>
      </c>
      <c r="F5" s="2" t="s">
        <v>84</v>
      </c>
    </row>
    <row r="6" spans="1:6" ht="12.75">
      <c r="A6" s="75" t="s">
        <v>105</v>
      </c>
      <c r="F6" s="2" t="s">
        <v>99</v>
      </c>
    </row>
    <row r="10" spans="3:10" ht="12.75">
      <c r="C10" s="35" t="s">
        <v>122</v>
      </c>
      <c r="E10" s="35" t="s">
        <v>101</v>
      </c>
      <c r="G10" s="71"/>
      <c r="H10" s="35" t="s">
        <v>122</v>
      </c>
      <c r="I10" s="2"/>
      <c r="J10" s="3" t="s">
        <v>103</v>
      </c>
    </row>
    <row r="11" spans="1:10" s="5" customFormat="1" ht="12.75">
      <c r="A11" s="4" t="s">
        <v>73</v>
      </c>
      <c r="B11" s="4" t="s">
        <v>74</v>
      </c>
      <c r="C11" s="4" t="s">
        <v>100</v>
      </c>
      <c r="D11" s="36" t="s">
        <v>75</v>
      </c>
      <c r="E11" s="4" t="s">
        <v>102</v>
      </c>
      <c r="G11" s="72"/>
      <c r="H11" s="4" t="s">
        <v>100</v>
      </c>
      <c r="I11" s="36" t="s">
        <v>75</v>
      </c>
      <c r="J11" s="5" t="s">
        <v>102</v>
      </c>
    </row>
    <row r="12" spans="1:7" ht="12.75">
      <c r="A12" s="1"/>
      <c r="B12" s="1"/>
      <c r="G12" s="71"/>
    </row>
    <row r="13" spans="1:10" ht="12.75">
      <c r="A13" s="1">
        <v>6100</v>
      </c>
      <c r="B13" s="1" t="s">
        <v>76</v>
      </c>
      <c r="C13" s="110">
        <v>63232</v>
      </c>
      <c r="D13" s="2">
        <v>0.2</v>
      </c>
      <c r="E13" s="127">
        <f>(C13*D13)</f>
        <v>12646.400000000001</v>
      </c>
      <c r="G13" s="71"/>
      <c r="H13" s="110">
        <v>63232</v>
      </c>
      <c r="I13" s="2">
        <v>0.2</v>
      </c>
      <c r="J13" s="66">
        <f>(H13*I13)</f>
        <v>12646.400000000001</v>
      </c>
    </row>
    <row r="14" spans="1:10" ht="12.75">
      <c r="A14" s="1">
        <v>6300</v>
      </c>
      <c r="B14" s="1" t="s">
        <v>77</v>
      </c>
      <c r="C14" s="111">
        <v>3500</v>
      </c>
      <c r="D14" s="2">
        <v>0.2</v>
      </c>
      <c r="E14" s="127">
        <f>(C14*D14)</f>
        <v>700</v>
      </c>
      <c r="G14" s="71"/>
      <c r="H14" s="111">
        <v>3500</v>
      </c>
      <c r="I14" s="2">
        <v>0.2</v>
      </c>
      <c r="J14" s="66">
        <f>(H14*I14)</f>
        <v>700</v>
      </c>
    </row>
    <row r="15" spans="1:10" ht="12.75">
      <c r="A15" s="1">
        <v>7100</v>
      </c>
      <c r="B15" s="1" t="s">
        <v>78</v>
      </c>
      <c r="C15" s="110">
        <v>12550</v>
      </c>
      <c r="D15" s="2">
        <v>0.2</v>
      </c>
      <c r="E15" s="127">
        <f>(C15*D15)</f>
        <v>2510</v>
      </c>
      <c r="G15" s="71"/>
      <c r="H15" s="110">
        <v>12550</v>
      </c>
      <c r="I15" s="2">
        <v>0.2</v>
      </c>
      <c r="J15" s="66">
        <f>(H15*I15)</f>
        <v>2510</v>
      </c>
    </row>
    <row r="16" spans="1:10" ht="12.75">
      <c r="A16" s="1">
        <v>6700</v>
      </c>
      <c r="B16" s="1" t="s">
        <v>79</v>
      </c>
      <c r="C16" s="110">
        <v>38500</v>
      </c>
      <c r="D16" s="2">
        <v>0.9</v>
      </c>
      <c r="E16" s="127">
        <f>(C16*D16)</f>
        <v>34650</v>
      </c>
      <c r="G16" s="71"/>
      <c r="H16" s="110">
        <v>38500</v>
      </c>
      <c r="I16" s="2">
        <v>0.9</v>
      </c>
      <c r="J16" s="66">
        <f>(H16*I16)</f>
        <v>34650</v>
      </c>
    </row>
    <row r="17" spans="1:10" ht="15">
      <c r="A17" s="1"/>
      <c r="B17" s="1" t="s">
        <v>80</v>
      </c>
      <c r="C17" s="112">
        <v>19200</v>
      </c>
      <c r="E17" s="128">
        <v>19200</v>
      </c>
      <c r="F17" t="s">
        <v>98</v>
      </c>
      <c r="G17" s="71"/>
      <c r="H17" s="112">
        <v>19200</v>
      </c>
      <c r="I17" s="2"/>
      <c r="J17" s="69">
        <v>19200</v>
      </c>
    </row>
    <row r="18" spans="1:10" ht="12.75">
      <c r="A18" s="1"/>
      <c r="B18" s="35" t="s">
        <v>96</v>
      </c>
      <c r="C18" s="68">
        <f>SUM(C13:C17)</f>
        <v>136982</v>
      </c>
      <c r="E18" s="129">
        <f>SUM(E13:E17)</f>
        <v>69706.4</v>
      </c>
      <c r="G18" s="71"/>
      <c r="H18" s="144">
        <f>SUM(H13:H17)</f>
        <v>136982</v>
      </c>
      <c r="J18" s="68">
        <f>SUM(J13:J17)</f>
        <v>69706.4</v>
      </c>
    </row>
    <row r="19" spans="1:10" ht="12.75">
      <c r="A19" s="1"/>
      <c r="B19" s="35"/>
      <c r="C19" s="73"/>
      <c r="E19" s="73"/>
      <c r="G19" s="71"/>
      <c r="J19" s="73"/>
    </row>
    <row r="20" spans="1:10" ht="12.75">
      <c r="A20" s="1"/>
      <c r="B20" s="1" t="s">
        <v>97</v>
      </c>
      <c r="C20" s="74" t="s">
        <v>84</v>
      </c>
      <c r="E20" s="67">
        <f>0.5*E18</f>
        <v>34853.2</v>
      </c>
      <c r="G20" s="71"/>
      <c r="J20" s="67">
        <f>0.5*J18</f>
        <v>34853.2</v>
      </c>
    </row>
    <row r="21" spans="1:7" ht="12.75">
      <c r="A21" s="1"/>
      <c r="B21" s="1"/>
      <c r="G21" s="71"/>
    </row>
    <row r="22" spans="1:10" ht="12.75">
      <c r="A22" s="1">
        <v>7230</v>
      </c>
      <c r="B22" s="1" t="s">
        <v>81</v>
      </c>
      <c r="C22" s="109">
        <v>8810</v>
      </c>
      <c r="D22" s="2">
        <v>1</v>
      </c>
      <c r="E22" s="109">
        <v>8810</v>
      </c>
      <c r="G22" s="71"/>
      <c r="H22" s="109">
        <v>8810</v>
      </c>
      <c r="I22" s="78">
        <v>1</v>
      </c>
      <c r="J22" s="109">
        <v>8810</v>
      </c>
    </row>
    <row r="23" spans="1:7" ht="12.75">
      <c r="A23" s="1"/>
      <c r="B23" s="1"/>
      <c r="G23" s="71"/>
    </row>
    <row r="24" spans="1:10" ht="12.75">
      <c r="A24" s="1"/>
      <c r="B24" s="35" t="s">
        <v>82</v>
      </c>
      <c r="C24" s="68">
        <f>SUM(C18+C22)</f>
        <v>145792</v>
      </c>
      <c r="D24" s="70"/>
      <c r="E24" s="68">
        <f>E22+E20</f>
        <v>43663.2</v>
      </c>
      <c r="G24" s="71"/>
      <c r="H24" s="3"/>
      <c r="J24" s="68">
        <f>J22+J20</f>
        <v>43663.2</v>
      </c>
    </row>
    <row r="25" spans="1:10" ht="12.75">
      <c r="A25" s="1"/>
      <c r="B25" s="1" t="s">
        <v>182</v>
      </c>
      <c r="C25" t="s">
        <v>84</v>
      </c>
      <c r="E25" s="79">
        <f>5/105</f>
        <v>0.047619047619047616</v>
      </c>
      <c r="G25" s="71"/>
      <c r="H25" t="s">
        <v>104</v>
      </c>
      <c r="J25">
        <f>1/101</f>
        <v>0.009900990099009901</v>
      </c>
    </row>
    <row r="26" spans="1:10" ht="12.75">
      <c r="A26" s="35"/>
      <c r="B26" s="37" t="s">
        <v>83</v>
      </c>
      <c r="C26" s="73" t="s">
        <v>84</v>
      </c>
      <c r="E26" s="68">
        <f>E25*E24</f>
        <v>2079.2</v>
      </c>
      <c r="G26" s="71"/>
      <c r="J26" s="68">
        <f>J25*J24</f>
        <v>432.3089108910891</v>
      </c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Redford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FCR Treasurer;Sue McCarthy</dc:creator>
  <cp:keywords/>
  <dc:description/>
  <cp:lastModifiedBy>Larry Hansen</cp:lastModifiedBy>
  <cp:lastPrinted>2015-06-09T16:29:23Z</cp:lastPrinted>
  <dcterms:created xsi:type="dcterms:W3CDTF">2008-04-30T20:27:51Z</dcterms:created>
  <dcterms:modified xsi:type="dcterms:W3CDTF">2016-06-01T15:43:02Z</dcterms:modified>
  <cp:category/>
  <cp:version/>
  <cp:contentType/>
  <cp:contentStatus/>
</cp:coreProperties>
</file>